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555" windowWidth="11580" windowHeight="1087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<sst xmlns="http://schemas.openxmlformats.org/spreadsheetml/2006/main" count="163" uniqueCount="112">
  <si>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</si>
  <si>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</si>
  <si>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</si>
  <si>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</si>
  <si>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</si>
  <si>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</si>
  <si>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</si>
  <si>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</si>
  <si>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</si>
  <si>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</si>
  <si>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</si>
  <si>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</si>
  <si>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</si>
  <si>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</si>
  <si>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</si>
  <si>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</si>
  <si>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</si>
  <si>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</si>
  <si>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</si>
  <si>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</si>
  <si>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</si>
  <si>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</si>
  <si>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</si>
  <si>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</si>
  <si>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</si>
  <si>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</si>
  <si>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</si>
  <si>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</si>
  <si>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</si>
  <si>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</si>
  <si>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</si>
  <si>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</si>
  <si>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</si>
  <si>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</si>
  <si>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</si>
  <si>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</si>
  <si>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</si>
  <si>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</si>
  <si>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</si>
  <si>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</si>
  <si>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</si>
  <si>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</si>
  <si>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</si>
  <si>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</si>
  <si>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</si>
  <si>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</si>
  <si>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</si>
  <si>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</si>
  <si>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</si>
  <si>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</si>
  <si>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</si>
  <si>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</si>
  <si>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</si>
  <si>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</si>
  <si>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</si>
  <si>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</si>
  <si>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</si>
  <si>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</si>
  <si>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</si>
  <si>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</si>
  <si>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</si>
  <si>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</si>
  <si>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</si>
  <si>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</si>
  <si>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</si>
  <si>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</si>
  <si>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</si>
  <si>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</si>
  <si>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</si>
  <si>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</si>
  <si>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</si>
  <si>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</si>
  <si>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</si>
  <si>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</si>
  <si>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</si>
  <si>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</si>
  <si>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</si>
  <si>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</si>
  <si>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</si>
  <si>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</si>
  <si>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</si>
  <si>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</si>
  <si>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</si>
  <si>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</si>
  <si>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</si>
  <si>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</si>
  <si>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</si>
  <si>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</si>
  <si>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</si>
  <si>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</si>
  <si>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</si>
  <si>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</si>
  <si>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</si>
  <si>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</si>
  <si>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</si>
  <si>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</si>
  <si>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</si>
  <si>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</si>
  <si>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</si>
  <si>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</si>
  <si>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</si>
  <si>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</si>
  <si>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</si>
  <si>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</si>
  <si>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</si>
  <si>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</si>
  <si>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</si>
  <si>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</si>
  <si>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</si>
  <si>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</si>
  <si>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</si>
  <si>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Аналіз використання коштів загального фонду міського бюджету станом на 02.08.2017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</si>
</sst>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5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11" fillId="25" borderId="0" xfId="0" applyFont="1" applyFill="1" applyAlignment="1">
      <alignment/>
    </xf>
    <xf numFmtId="0" fontId="7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158254.9</c:v>
                </c:pt>
                <c:pt idx="1">
                  <c:v>147735.7</c:v>
                </c:pt>
                <c:pt idx="2">
                  <c:v>2620.6</c:v>
                </c:pt>
                <c:pt idx="3">
                  <c:v>7898.599999999982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70142.8</c:v>
                </c:pt>
                <c:pt idx="1">
                  <c:v>65296.80000000001</c:v>
                </c:pt>
                <c:pt idx="2">
                  <c:v>1288.3000000000002</c:v>
                </c:pt>
                <c:pt idx="3">
                  <c:v>3557.6999999999925</c:v>
                </c:pt>
              </c:numCache>
            </c:numRef>
          </c:val>
          <c:shape val="box"/>
        </c:ser>
        <c:shape val="box"/>
        <c:axId val="53980384"/>
        <c:axId val="16061409"/>
      </c:bar3DChart>
      <c:catAx>
        <c:axId val="53980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061409"/>
        <c:crosses val="autoZero"/>
        <c:auto val="1"/>
        <c:lblOffset val="100"/>
        <c:tickLblSkip val="1"/>
        <c:noMultiLvlLbl val="0"/>
      </c:catAx>
      <c:valAx>
        <c:axId val="160614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803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639747.9999999999</c:v>
                </c:pt>
                <c:pt idx="1">
                  <c:v>243536.9</c:v>
                </c:pt>
                <c:pt idx="2">
                  <c:v>497488.5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14028.6</c:v>
                </c:pt>
                <c:pt idx="7">
                  <c:v>19776.399999999885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368925.69999999995</c:v>
                </c:pt>
                <c:pt idx="1">
                  <c:v>139550.80000000002</c:v>
                </c:pt>
                <c:pt idx="2">
                  <c:v>292973.89999999997</c:v>
                </c:pt>
                <c:pt idx="3">
                  <c:v>23.1</c:v>
                </c:pt>
                <c:pt idx="4">
                  <c:v>17726.1</c:v>
                </c:pt>
                <c:pt idx="5">
                  <c:v>45433.100000000006</c:v>
                </c:pt>
                <c:pt idx="6">
                  <c:v>7408.9</c:v>
                </c:pt>
                <c:pt idx="7">
                  <c:v>5360.5999999999785</c:v>
                </c:pt>
              </c:numCache>
            </c:numRef>
          </c:val>
          <c:shape val="box"/>
        </c:ser>
        <c:shape val="box"/>
        <c:axId val="10334954"/>
        <c:axId val="25905723"/>
      </c:bar3DChart>
      <c:catAx>
        <c:axId val="10334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05723"/>
        <c:crosses val="autoZero"/>
        <c:auto val="1"/>
        <c:lblOffset val="100"/>
        <c:tickLblSkip val="1"/>
        <c:noMultiLvlLbl val="0"/>
      </c:catAx>
      <c:valAx>
        <c:axId val="259057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349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362954.1</c:v>
                </c:pt>
                <c:pt idx="1">
                  <c:v>239505.5</c:v>
                </c:pt>
                <c:pt idx="2">
                  <c:v>362954.1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216546.60000000003</c:v>
                </c:pt>
                <c:pt idx="1">
                  <c:v>136899.00000000003</c:v>
                </c:pt>
                <c:pt idx="2">
                  <c:v>216546.60000000003</c:v>
                </c:pt>
              </c:numCache>
            </c:numRef>
          </c:val>
          <c:shape val="box"/>
        </c:ser>
        <c:shape val="box"/>
        <c:axId val="31824916"/>
        <c:axId val="17988789"/>
      </c:bar3DChart>
      <c:catAx>
        <c:axId val="31824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988789"/>
        <c:crosses val="autoZero"/>
        <c:auto val="1"/>
        <c:lblOffset val="100"/>
        <c:tickLblSkip val="1"/>
        <c:noMultiLvlLbl val="0"/>
      </c:catAx>
      <c:valAx>
        <c:axId val="179887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249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64445.8</c:v>
                </c:pt>
                <c:pt idx="1">
                  <c:v>52731.799999999996</c:v>
                </c:pt>
                <c:pt idx="2">
                  <c:v>2945.3</c:v>
                </c:pt>
                <c:pt idx="3">
                  <c:v>752.1</c:v>
                </c:pt>
                <c:pt idx="4">
                  <c:v>80.8</c:v>
                </c:pt>
                <c:pt idx="5">
                  <c:v>7935.8000000000075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36261.09999999999</c:v>
                </c:pt>
                <c:pt idx="1">
                  <c:v>30342.199999999997</c:v>
                </c:pt>
                <c:pt idx="2">
                  <c:v>1531.5</c:v>
                </c:pt>
                <c:pt idx="3">
                  <c:v>350.3</c:v>
                </c:pt>
                <c:pt idx="4">
                  <c:v>25.5</c:v>
                </c:pt>
                <c:pt idx="5">
                  <c:v>4011.599999999994</c:v>
                </c:pt>
              </c:numCache>
            </c:numRef>
          </c:val>
          <c:shape val="box"/>
        </c:ser>
        <c:shape val="box"/>
        <c:axId val="27681374"/>
        <c:axId val="47805775"/>
      </c:bar3DChart>
      <c:catAx>
        <c:axId val="27681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805775"/>
        <c:crosses val="autoZero"/>
        <c:auto val="1"/>
        <c:lblOffset val="100"/>
        <c:tickLblSkip val="1"/>
        <c:noMultiLvlLbl val="0"/>
      </c:catAx>
      <c:valAx>
        <c:axId val="478057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813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23911.899999999998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6257.699999999999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13437.099999999999</c:v>
                </c:pt>
                <c:pt idx="1">
                  <c:v>8623.5</c:v>
                </c:pt>
                <c:pt idx="3">
                  <c:v>347.1999999999999</c:v>
                </c:pt>
                <c:pt idx="4">
                  <c:v>500.60000000000014</c:v>
                </c:pt>
                <c:pt idx="5">
                  <c:v>280</c:v>
                </c:pt>
                <c:pt idx="6">
                  <c:v>3685.7999999999984</c:v>
                </c:pt>
              </c:numCache>
            </c:numRef>
          </c:val>
          <c:shape val="box"/>
        </c:ser>
        <c:shape val="box"/>
        <c:axId val="27598792"/>
        <c:axId val="47062537"/>
      </c:bar3DChart>
      <c:catAx>
        <c:axId val="27598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062537"/>
        <c:crosses val="autoZero"/>
        <c:auto val="1"/>
        <c:lblOffset val="100"/>
        <c:tickLblSkip val="2"/>
        <c:noMultiLvlLbl val="0"/>
      </c:catAx>
      <c:valAx>
        <c:axId val="470625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987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7716.1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3707.1</c:v>
                </c:pt>
                <c:pt idx="5">
                  <c:v>691.7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2161.0000000000005</c:v>
                </c:pt>
                <c:pt idx="1">
                  <c:v>1450.8000000000002</c:v>
                </c:pt>
                <c:pt idx="2">
                  <c:v>190.89999999999998</c:v>
                </c:pt>
                <c:pt idx="3">
                  <c:v>209.29999999999998</c:v>
                </c:pt>
                <c:pt idx="4">
                  <c:v>89.8</c:v>
                </c:pt>
                <c:pt idx="5">
                  <c:v>220.20000000000033</c:v>
                </c:pt>
              </c:numCache>
            </c:numRef>
          </c:val>
          <c:shape val="box"/>
        </c:ser>
        <c:shape val="box"/>
        <c:axId val="20909650"/>
        <c:axId val="53969123"/>
      </c:bar3DChart>
      <c:catAx>
        <c:axId val="20909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969123"/>
        <c:crosses val="autoZero"/>
        <c:auto val="1"/>
        <c:lblOffset val="100"/>
        <c:tickLblSkip val="1"/>
        <c:noMultiLvlLbl val="0"/>
      </c:catAx>
      <c:valAx>
        <c:axId val="539691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096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62614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36733.1</c:v>
                </c:pt>
              </c:numCache>
            </c:numRef>
          </c:val>
          <c:shape val="box"/>
        </c:ser>
        <c:shape val="box"/>
        <c:axId val="15960060"/>
        <c:axId val="9422813"/>
      </c:bar3DChart>
      <c:catAx>
        <c:axId val="15960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422813"/>
        <c:crosses val="autoZero"/>
        <c:auto val="1"/>
        <c:lblOffset val="100"/>
        <c:tickLblSkip val="1"/>
        <c:noMultiLvlLbl val="0"/>
      </c:catAx>
      <c:valAx>
        <c:axId val="94228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600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639747.9999999999</c:v>
                </c:pt>
                <c:pt idx="1">
                  <c:v>362954.1</c:v>
                </c:pt>
                <c:pt idx="2">
                  <c:v>64445.8</c:v>
                </c:pt>
                <c:pt idx="3">
                  <c:v>23911.899999999998</c:v>
                </c:pt>
                <c:pt idx="4">
                  <c:v>7716.1</c:v>
                </c:pt>
                <c:pt idx="5">
                  <c:v>158254.9</c:v>
                </c:pt>
                <c:pt idx="6">
                  <c:v>62614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368925.69999999995</c:v>
                </c:pt>
                <c:pt idx="1">
                  <c:v>216546.60000000003</c:v>
                </c:pt>
                <c:pt idx="2">
                  <c:v>36261.09999999999</c:v>
                </c:pt>
                <c:pt idx="3">
                  <c:v>13437.099999999999</c:v>
                </c:pt>
                <c:pt idx="4">
                  <c:v>2161.0000000000005</c:v>
                </c:pt>
                <c:pt idx="5">
                  <c:v>70142.8</c:v>
                </c:pt>
                <c:pt idx="6">
                  <c:v>36733.1</c:v>
                </c:pt>
              </c:numCache>
            </c:numRef>
          </c:val>
          <c:shape val="box"/>
        </c:ser>
        <c:shape val="box"/>
        <c:axId val="17696454"/>
        <c:axId val="25050359"/>
      </c:bar3DChart>
      <c:catAx>
        <c:axId val="17696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050359"/>
        <c:crosses val="autoZero"/>
        <c:auto val="1"/>
        <c:lblOffset val="100"/>
        <c:tickLblSkip val="1"/>
        <c:noMultiLvlLbl val="0"/>
      </c:catAx>
      <c:valAx>
        <c:axId val="250503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964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728085</c:v>
                </c:pt>
                <c:pt idx="1">
                  <c:v>102323.1</c:v>
                </c:pt>
                <c:pt idx="2">
                  <c:v>28689.7</c:v>
                </c:pt>
                <c:pt idx="3">
                  <c:v>29533.899999999998</c:v>
                </c:pt>
                <c:pt idx="4">
                  <c:v>106.9</c:v>
                </c:pt>
                <c:pt idx="5">
                  <c:v>990956.8999999994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405761.1</c:v>
                </c:pt>
                <c:pt idx="1">
                  <c:v>55756.40000000001</c:v>
                </c:pt>
                <c:pt idx="2">
                  <c:v>18301.5</c:v>
                </c:pt>
                <c:pt idx="3">
                  <c:v>12851.999999999998</c:v>
                </c:pt>
                <c:pt idx="4">
                  <c:v>23.900000000000002</c:v>
                </c:pt>
                <c:pt idx="5">
                  <c:v>471595.69999999995</c:v>
                </c:pt>
              </c:numCache>
            </c:numRef>
          </c:val>
          <c:shape val="box"/>
        </c:ser>
        <c:shape val="box"/>
        <c:axId val="24126640"/>
        <c:axId val="15813169"/>
      </c:bar3DChart>
      <c:catAx>
        <c:axId val="24126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813169"/>
        <c:crosses val="autoZero"/>
        <c:auto val="1"/>
        <c:lblOffset val="100"/>
        <c:tickLblSkip val="1"/>
        <c:noMultiLvlLbl val="0"/>
      </c:catAx>
      <c:valAx>
        <c:axId val="15813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266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6" t="s">
        <v>111</v>
      </c>
      <c r="B1" s="136"/>
      <c r="C1" s="136"/>
      <c r="D1" s="136"/>
      <c r="E1" s="136"/>
      <c r="F1" s="136"/>
      <c r="G1" s="136"/>
      <c r="H1" s="136"/>
      <c r="I1" s="136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40" t="s">
        <v>41</v>
      </c>
      <c r="B3" s="137" t="s">
        <v>108</v>
      </c>
      <c r="C3" s="137" t="s">
        <v>90</v>
      </c>
      <c r="D3" s="137" t="s">
        <v>23</v>
      </c>
      <c r="E3" s="137" t="s">
        <v>22</v>
      </c>
      <c r="F3" s="137" t="s">
        <v>109</v>
      </c>
      <c r="G3" s="137" t="s">
        <v>92</v>
      </c>
      <c r="H3" s="137" t="s">
        <v>110</v>
      </c>
      <c r="I3" s="137" t="s">
        <v>91</v>
      </c>
    </row>
    <row r="4" spans="1:9" ht="24.75" customHeight="1">
      <c r="A4" s="141"/>
      <c r="B4" s="138"/>
      <c r="C4" s="138"/>
      <c r="D4" s="138"/>
      <c r="E4" s="138"/>
      <c r="F4" s="138"/>
      <c r="G4" s="138"/>
      <c r="H4" s="138"/>
      <c r="I4" s="138"/>
    </row>
    <row r="5" spans="1:9" ht="39" customHeight="1" thickBot="1">
      <c r="A5" s="142"/>
      <c r="B5" s="139"/>
      <c r="C5" s="139"/>
      <c r="D5" s="139"/>
      <c r="E5" s="139"/>
      <c r="F5" s="139"/>
      <c r="G5" s="139"/>
      <c r="H5" s="139"/>
      <c r="I5" s="139"/>
    </row>
    <row r="6" spans="1:9" ht="18.75" thickBot="1">
      <c r="A6" s="22" t="s">
        <v>27</v>
      </c>
      <c r="B6" s="45">
        <v>432940.7</v>
      </c>
      <c r="C6" s="46">
        <f>625865.1-190.4-316.9+47.1+50+198+5366.4+2952+4818.2+150+808.5-20</f>
        <v>639727.9999999999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</f>
        <v>368925.69999999995</v>
      </c>
      <c r="E6" s="3">
        <f>D6/D151*100</f>
        <v>38.004200464424514</v>
      </c>
      <c r="F6" s="3">
        <f>D6/B6*100</f>
        <v>85.21391035770024</v>
      </c>
      <c r="G6" s="3">
        <f aca="true" t="shared" si="0" ref="G6:G43">D6/C6*100</f>
        <v>57.66915001375585</v>
      </c>
      <c r="H6" s="47">
        <f>B6-D6</f>
        <v>64015.00000000006</v>
      </c>
      <c r="I6" s="47">
        <f aca="true" t="shared" si="1" ref="I6:I43">C6-D6</f>
        <v>270802.29999999993</v>
      </c>
    </row>
    <row r="7" spans="1:9" s="37" customFormat="1" ht="18.75">
      <c r="A7" s="104" t="s">
        <v>82</v>
      </c>
      <c r="B7" s="97">
        <v>167440.3</v>
      </c>
      <c r="C7" s="94">
        <f>243287.4+47.1+202.4</f>
        <v>243536.9</v>
      </c>
      <c r="D7" s="105">
        <f>6699.4+11261.7+10.2+8073.8+9792.3+0.1+0.8+7352+6.6+10108.4-0.1+7942.1+9848.6-0.1+7861.7+17351.9+0.1+8976.7+21107.4+3648.1+8478-0.1+422+40.1+569.1</f>
        <v>139550.80000000002</v>
      </c>
      <c r="E7" s="95">
        <f>D7/D6*100</f>
        <v>37.82626149384552</v>
      </c>
      <c r="F7" s="95">
        <f>D7/B7*100</f>
        <v>83.34361560508434</v>
      </c>
      <c r="G7" s="95">
        <f>D7/C7*100</f>
        <v>57.30170664075958</v>
      </c>
      <c r="H7" s="105">
        <f>B7-D7</f>
        <v>27889.49999999997</v>
      </c>
      <c r="I7" s="105">
        <f t="shared" si="1"/>
        <v>103986.09999999998</v>
      </c>
    </row>
    <row r="8" spans="1:9" ht="18">
      <c r="A8" s="23" t="s">
        <v>3</v>
      </c>
      <c r="B8" s="42">
        <v>338557.6</v>
      </c>
      <c r="C8" s="43">
        <f>487771.7+47.1+4992.2+4503.5+174</f>
        <v>497488.5</v>
      </c>
      <c r="D8" s="44">
        <f>12945+14658+9353.4+10.2+0.1+7+16015+13071.9+6973.3+1906+3.4+7.6+13882.5+6.6+747.5+21101.8+2656.1+15.6+10047+6403+9848.6+12369.9+15042.4+0.7+17351.9+16553.3+0.1+9378.9+22855.5+11721.1+270+8478+22599.8+2+989.5+16.6+1.8+422+6968.6+4198.7+594.8+3498.7+0.1</f>
        <v>292973.99999999994</v>
      </c>
      <c r="E8" s="1">
        <f>D8/D6*100</f>
        <v>79.41273812043997</v>
      </c>
      <c r="F8" s="1">
        <f>D8/B8*100</f>
        <v>86.53593952698151</v>
      </c>
      <c r="G8" s="1">
        <f t="shared" si="0"/>
        <v>58.89060752158088</v>
      </c>
      <c r="H8" s="44">
        <f>B8-D8</f>
        <v>45583.600000000035</v>
      </c>
      <c r="I8" s="44">
        <f t="shared" si="1"/>
        <v>204514.50000000006</v>
      </c>
    </row>
    <row r="9" spans="1:9" ht="18">
      <c r="A9" s="23" t="s">
        <v>2</v>
      </c>
      <c r="B9" s="42">
        <v>52.9</v>
      </c>
      <c r="C9" s="43">
        <v>92.5</v>
      </c>
      <c r="D9" s="44">
        <f>2.5+4.3+3.3+7+0.4+1.3+1.6+1.3+1.5-0.1</f>
        <v>23.1</v>
      </c>
      <c r="E9" s="12">
        <f>D9/D6*100</f>
        <v>0.006261423370613651</v>
      </c>
      <c r="F9" s="119">
        <f>D9/B9*100</f>
        <v>43.66729678638942</v>
      </c>
      <c r="G9" s="1">
        <f t="shared" si="0"/>
        <v>24.972972972972972</v>
      </c>
      <c r="H9" s="44">
        <f aca="true" t="shared" si="2" ref="H9:H43">B9-D9</f>
        <v>29.799999999999997</v>
      </c>
      <c r="I9" s="44">
        <f t="shared" si="1"/>
        <v>69.4</v>
      </c>
    </row>
    <row r="10" spans="1:9" ht="18">
      <c r="A10" s="23" t="s">
        <v>1</v>
      </c>
      <c r="B10" s="42">
        <v>19586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</f>
        <v>17726.1</v>
      </c>
      <c r="E10" s="1">
        <f>D10/D6*100</f>
        <v>4.804788606486347</v>
      </c>
      <c r="F10" s="1">
        <f aca="true" t="shared" si="3" ref="F10:F41">D10/B10*100</f>
        <v>90.50393137955682</v>
      </c>
      <c r="G10" s="1">
        <f t="shared" si="0"/>
        <v>64.54891393405312</v>
      </c>
      <c r="H10" s="44">
        <f t="shared" si="2"/>
        <v>1859.9000000000015</v>
      </c>
      <c r="I10" s="44">
        <f t="shared" si="1"/>
        <v>9735.400000000001</v>
      </c>
    </row>
    <row r="11" spans="1:9" ht="18">
      <c r="A11" s="23" t="s">
        <v>0</v>
      </c>
      <c r="B11" s="42">
        <v>53126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</f>
        <v>45433.100000000006</v>
      </c>
      <c r="E11" s="1">
        <f>D11/D6*100</f>
        <v>12.314972906468705</v>
      </c>
      <c r="F11" s="1">
        <f t="shared" si="3"/>
        <v>85.51951963257163</v>
      </c>
      <c r="G11" s="1">
        <f t="shared" si="0"/>
        <v>56.15923263762277</v>
      </c>
      <c r="H11" s="44">
        <f t="shared" si="2"/>
        <v>7692.899999999994</v>
      </c>
      <c r="I11" s="44">
        <f t="shared" si="1"/>
        <v>35467.399999999994</v>
      </c>
    </row>
    <row r="12" spans="1:9" ht="18">
      <c r="A12" s="23" t="s">
        <v>14</v>
      </c>
      <c r="B12" s="42">
        <v>8533.4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276.3+3.4+1.2+766.5+1.2+207.2+488.1+284.1+207.8+0.1+1.2+2.8+9+434.7+164.8+490.2+0.8+3.6+1.2+150.2+3.6+534.8+237.6+35.2+0.2+10.9+298.8+1.2+661.3+35.2+0.5+0.1+44.4+1.2+436.4+226+367.5+10+125.1+50.5+1.3+9.1+238.6+544+41.1</f>
        <v>7409</v>
      </c>
      <c r="E12" s="1">
        <f>D12/D6*100</f>
        <v>2.0082634525054774</v>
      </c>
      <c r="F12" s="1">
        <f t="shared" si="3"/>
        <v>86.8235404410903</v>
      </c>
      <c r="G12" s="1">
        <f t="shared" si="0"/>
        <v>52.81353805796729</v>
      </c>
      <c r="H12" s="44">
        <f t="shared" si="2"/>
        <v>1124.3999999999996</v>
      </c>
      <c r="I12" s="44">
        <f t="shared" si="1"/>
        <v>6619.6</v>
      </c>
    </row>
    <row r="13" spans="1:9" ht="18.75" thickBot="1">
      <c r="A13" s="23" t="s">
        <v>28</v>
      </c>
      <c r="B13" s="43">
        <f>B6-B8-B9-B10-B11-B12</f>
        <v>13084.800000000041</v>
      </c>
      <c r="C13" s="43">
        <f>C6-C8-C9-C10-C11-C12</f>
        <v>19756.399999999885</v>
      </c>
      <c r="D13" s="43">
        <f>D6-D8-D9-D10-D11-D12</f>
        <v>5360.4000000000015</v>
      </c>
      <c r="E13" s="1">
        <f>D13/D6*100</f>
        <v>1.4529754907288925</v>
      </c>
      <c r="F13" s="1">
        <f t="shared" si="3"/>
        <v>40.966617754952196</v>
      </c>
      <c r="G13" s="1">
        <f t="shared" si="0"/>
        <v>27.132473527565914</v>
      </c>
      <c r="H13" s="44">
        <f t="shared" si="2"/>
        <v>7724.40000000004</v>
      </c>
      <c r="I13" s="44">
        <f t="shared" si="1"/>
        <v>14395.999999999884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262692.8</v>
      </c>
      <c r="C18" s="46">
        <f>329127.1+600+14307.6+200+1333.8+15842.2+1513.4+30</f>
        <v>362954.1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</f>
        <v>216546.60000000003</v>
      </c>
      <c r="E18" s="3">
        <f>D18/D151*100</f>
        <v>22.307148556713592</v>
      </c>
      <c r="F18" s="3">
        <f>D18/B18*100</f>
        <v>82.43339748938686</v>
      </c>
      <c r="G18" s="3">
        <f t="shared" si="0"/>
        <v>59.662254814038484</v>
      </c>
      <c r="H18" s="47">
        <f>B18-D18</f>
        <v>46146.19999999995</v>
      </c>
      <c r="I18" s="47">
        <f t="shared" si="1"/>
        <v>146407.49999999994</v>
      </c>
    </row>
    <row r="19" spans="1:13" s="37" customFormat="1" ht="18.75">
      <c r="A19" s="104" t="s">
        <v>83</v>
      </c>
      <c r="B19" s="97">
        <v>160080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</f>
        <v>136899.00000000003</v>
      </c>
      <c r="E19" s="95">
        <f>D19/D18*100</f>
        <v>63.219187001781606</v>
      </c>
      <c r="F19" s="95">
        <f t="shared" si="3"/>
        <v>85.51911544227889</v>
      </c>
      <c r="G19" s="95">
        <f t="shared" si="0"/>
        <v>57.15902140034363</v>
      </c>
      <c r="H19" s="105">
        <f t="shared" si="2"/>
        <v>23180.99999999997</v>
      </c>
      <c r="I19" s="105">
        <f t="shared" si="1"/>
        <v>102606.49999999997</v>
      </c>
      <c r="K19" s="132"/>
      <c r="L19" s="11"/>
      <c r="M19" s="11"/>
    </row>
    <row r="20" spans="1:11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  <c r="K20" s="132"/>
    </row>
    <row r="21" spans="1:11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  <c r="K21" s="132"/>
    </row>
    <row r="22" spans="1:11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  <c r="K22" s="132"/>
    </row>
    <row r="23" spans="1:11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  <c r="K23" s="132"/>
    </row>
    <row r="24" spans="1:11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  <c r="K24" s="132"/>
    </row>
    <row r="25" spans="1:11" ht="18.75" thickBot="1">
      <c r="A25" s="23" t="s">
        <v>28</v>
      </c>
      <c r="B25" s="43">
        <f>B18</f>
        <v>262692.8</v>
      </c>
      <c r="C25" s="43">
        <f>C18</f>
        <v>362954.1</v>
      </c>
      <c r="D25" s="43">
        <f>D18</f>
        <v>216546.60000000003</v>
      </c>
      <c r="E25" s="1">
        <f>D25/D18*100</f>
        <v>100</v>
      </c>
      <c r="F25" s="1">
        <f t="shared" si="3"/>
        <v>82.43339748938686</v>
      </c>
      <c r="G25" s="1">
        <f t="shared" si="0"/>
        <v>59.662254814038484</v>
      </c>
      <c r="H25" s="44">
        <f t="shared" si="2"/>
        <v>46146.19999999995</v>
      </c>
      <c r="I25" s="44">
        <f t="shared" si="1"/>
        <v>146407.49999999994</v>
      </c>
      <c r="K25" s="132"/>
    </row>
    <row r="26" spans="1:11" ht="57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  <c r="K26" s="132"/>
    </row>
    <row r="27" spans="1:11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  <c r="K27" s="132"/>
    </row>
    <row r="28" spans="1:11" ht="19.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  <c r="K28" s="132"/>
    </row>
    <row r="29" spans="1:11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  <c r="K29" s="132"/>
    </row>
    <row r="30" spans="1:11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  <c r="K30" s="132"/>
    </row>
    <row r="31" spans="1:11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  <c r="K31" s="132"/>
    </row>
    <row r="32" spans="1:11" ht="19.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  <c r="K32" s="132"/>
    </row>
    <row r="33" spans="1:11" ht="18.75" thickBot="1">
      <c r="A33" s="22" t="s">
        <v>17</v>
      </c>
      <c r="B33" s="45">
        <v>41983.1</v>
      </c>
      <c r="C33" s="46">
        <f>67303.3-3099.2+301.7+44-104</f>
        <v>64445.8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</f>
        <v>36261.09999999999</v>
      </c>
      <c r="E33" s="3">
        <f>D33/D151*100</f>
        <v>3.7353703292032607</v>
      </c>
      <c r="F33" s="3">
        <f>D33/B33*100</f>
        <v>86.3707063080144</v>
      </c>
      <c r="G33" s="3">
        <f t="shared" si="0"/>
        <v>56.266040610869894</v>
      </c>
      <c r="H33" s="47">
        <f t="shared" si="2"/>
        <v>5722.000000000007</v>
      </c>
      <c r="I33" s="47">
        <f t="shared" si="1"/>
        <v>28184.70000000001</v>
      </c>
      <c r="K33" s="132"/>
    </row>
    <row r="34" spans="1:11" ht="18">
      <c r="A34" s="23" t="s">
        <v>3</v>
      </c>
      <c r="B34" s="42">
        <v>34660</v>
      </c>
      <c r="C34" s="43">
        <f>55535.9-3105.8+301.7</f>
        <v>52731.799999999996</v>
      </c>
      <c r="D34" s="44">
        <f>1743.2+1833.7+1830.2+1935.3+81+1854.2+129.9+1804.7+34.4+1.5+1881.6+1967.7+0.1+1784.4+235.6+2357.6-0.1+6335.8+2919.9+53.7+142.8+686.6+728.3+0.1</f>
        <v>30342.199999999997</v>
      </c>
      <c r="E34" s="1">
        <f>D34/D33*100</f>
        <v>83.67699821571878</v>
      </c>
      <c r="F34" s="1">
        <f t="shared" si="3"/>
        <v>87.54241200230813</v>
      </c>
      <c r="G34" s="1">
        <f t="shared" si="0"/>
        <v>57.54061116821349</v>
      </c>
      <c r="H34" s="44">
        <f t="shared" si="2"/>
        <v>4317.800000000003</v>
      </c>
      <c r="I34" s="44">
        <f t="shared" si="1"/>
        <v>22389.6</v>
      </c>
      <c r="K34" s="132"/>
    </row>
    <row r="35" spans="1:11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  <c r="K35" s="132"/>
    </row>
    <row r="36" spans="1:11" ht="18">
      <c r="A36" s="23" t="s">
        <v>0</v>
      </c>
      <c r="B36" s="42">
        <v>1654.5</v>
      </c>
      <c r="C36" s="43">
        <v>2945.3</v>
      </c>
      <c r="D36" s="44">
        <f>5.4+1.2+41.8+16.1+2.9+29.7+160.9+0.8+93.4+46.9+11.2+0.1+15.2+184.7+9.2+183.2+0.9+11.9+0.1+174+0.1+59.2+12.8+2+8.2+325.6+7.6-0.1+53.7+13.4+10.7+7.4+0.6+1.6+1.5+8.1+1.8+9.7+0.1+1+17.2-0.3</f>
        <v>1531.5</v>
      </c>
      <c r="E36" s="1">
        <f>D36/D33*100</f>
        <v>4.223534310873085</v>
      </c>
      <c r="F36" s="1">
        <f t="shared" si="3"/>
        <v>92.56572982774252</v>
      </c>
      <c r="G36" s="1">
        <f t="shared" si="0"/>
        <v>51.998098665670724</v>
      </c>
      <c r="H36" s="44">
        <f t="shared" si="2"/>
        <v>123</v>
      </c>
      <c r="I36" s="44">
        <f t="shared" si="1"/>
        <v>1413.8000000000002</v>
      </c>
      <c r="K36" s="132"/>
    </row>
    <row r="37" spans="1:11" s="37" customFormat="1" ht="18.75">
      <c r="A37" s="18" t="s">
        <v>7</v>
      </c>
      <c r="B37" s="51">
        <v>501.2</v>
      </c>
      <c r="C37" s="52">
        <f>856.1-104</f>
        <v>752.1</v>
      </c>
      <c r="D37" s="53">
        <f>7.4+12.3+6.1+3.3+9.3+3.2+58.1+36.7+24.4+18.9-18.9+0.1+12+83.3+21.3+10.7+4.7+55.2+2.2</f>
        <v>350.3</v>
      </c>
      <c r="E37" s="17">
        <f>D37/D33*100</f>
        <v>0.966049016714882</v>
      </c>
      <c r="F37" s="17">
        <f t="shared" si="3"/>
        <v>69.89225857940941</v>
      </c>
      <c r="G37" s="17">
        <f t="shared" si="0"/>
        <v>46.57625315782476</v>
      </c>
      <c r="H37" s="53">
        <f t="shared" si="2"/>
        <v>150.89999999999998</v>
      </c>
      <c r="I37" s="53">
        <f t="shared" si="1"/>
        <v>401.8</v>
      </c>
      <c r="K37" s="133"/>
    </row>
    <row r="38" spans="1:11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0.07032329410856264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  <c r="K38" s="132"/>
    </row>
    <row r="39" spans="1:11" ht="18.75" thickBot="1">
      <c r="A39" s="23" t="s">
        <v>28</v>
      </c>
      <c r="B39" s="42">
        <f>B33-B34-B36-B37-B35-B38</f>
        <v>5141.899999999999</v>
      </c>
      <c r="C39" s="42">
        <f>C33-C34-C36-C37-C35-C38</f>
        <v>7935.8000000000075</v>
      </c>
      <c r="D39" s="42">
        <f>D33-D34-D36-D37-D35-D38</f>
        <v>4011.599999999994</v>
      </c>
      <c r="E39" s="1">
        <f>D39/D33*100</f>
        <v>11.063095162584684</v>
      </c>
      <c r="F39" s="1">
        <f t="shared" si="3"/>
        <v>78.01785332270163</v>
      </c>
      <c r="G39" s="1">
        <f t="shared" si="0"/>
        <v>50.55066911968535</v>
      </c>
      <c r="H39" s="44">
        <f>B39-D39</f>
        <v>1130.3000000000047</v>
      </c>
      <c r="I39" s="44">
        <f t="shared" si="1"/>
        <v>3924.2000000000135</v>
      </c>
      <c r="K39" s="132"/>
    </row>
    <row r="40" spans="1:11" ht="19.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  <c r="K40" s="132"/>
    </row>
    <row r="41" spans="1:11" ht="19.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  <c r="K41" s="132"/>
    </row>
    <row r="42" spans="1:11" ht="19.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  <c r="K42" s="132"/>
    </row>
    <row r="43" spans="1:11" ht="19.5" thickBot="1">
      <c r="A43" s="13" t="s">
        <v>16</v>
      </c>
      <c r="B43" s="98">
        <v>1890.8</v>
      </c>
      <c r="C43" s="46">
        <f>1548.6+6.6+21.9+503.3+153.3</f>
        <v>2233.7000000000003</v>
      </c>
      <c r="D43" s="47">
        <f>29.1+22+50.2+8.1+0.6+111.5+89.2+3+14.7+7.1+8.4+11.5+17.6+100.3+27.2+6.2-0.1+30.1+12.7+5+6.1+5+7.2+55.8+7.4+109.8-0.1+35+11.8+22.6+27.4+6.5+3.2+63.8+35.8+6.6+2.7+4+0.2+6.5+6.9+61+27.1-0.1+3.2+4.7+2.4+51.9+11+53.3-0.1</f>
        <v>1193.0000000000002</v>
      </c>
      <c r="E43" s="3">
        <f>D43/D151*100</f>
        <v>0.12289469438984181</v>
      </c>
      <c r="F43" s="3">
        <f>D43/B43*100</f>
        <v>63.0949862492067</v>
      </c>
      <c r="G43" s="3">
        <f t="shared" si="0"/>
        <v>53.409141782692394</v>
      </c>
      <c r="H43" s="47">
        <f t="shared" si="2"/>
        <v>697.7999999999997</v>
      </c>
      <c r="I43" s="47">
        <f t="shared" si="1"/>
        <v>1040.7</v>
      </c>
      <c r="K43" s="132"/>
    </row>
    <row r="44" spans="1:11" ht="12" customHeight="1" thickBot="1">
      <c r="A44" s="25"/>
      <c r="B44" s="55"/>
      <c r="C44" s="56"/>
      <c r="D44" s="57"/>
      <c r="E44" s="7"/>
      <c r="F44" s="7"/>
      <c r="G44" s="7"/>
      <c r="H44" s="57"/>
      <c r="I44" s="57"/>
      <c r="K44" s="132"/>
    </row>
    <row r="45" spans="1:11" ht="18.75" thickBot="1">
      <c r="A45" s="22" t="s">
        <v>45</v>
      </c>
      <c r="B45" s="45">
        <v>7911.7</v>
      </c>
      <c r="C45" s="46">
        <v>11788</v>
      </c>
      <c r="D45" s="47">
        <f>102.9+155.5+3.1+3.7+452.3+6+17.2+314.1+59.3+95.2+2.2+579+1.9+71.6+375.2+7+7.3+568.3+0.1+96.1+326.4+4.1+518.1-0.1+350+35.2+5.1+556.7+19.5+326.2+24.6+1+691.6+365.3+4.1+585.4</f>
        <v>6731.200000000001</v>
      </c>
      <c r="E45" s="3">
        <f>D45/D151*100</f>
        <v>0.6934021516151744</v>
      </c>
      <c r="F45" s="3">
        <f>D45/B45*100</f>
        <v>85.07906012614231</v>
      </c>
      <c r="G45" s="3">
        <f aca="true" t="shared" si="4" ref="G45:G76">D45/C45*100</f>
        <v>57.10213776722091</v>
      </c>
      <c r="H45" s="47">
        <f>B45-D45</f>
        <v>1180.499999999999</v>
      </c>
      <c r="I45" s="47">
        <f aca="true" t="shared" si="5" ref="I45:I77">C45-D45</f>
        <v>5056.799999999999</v>
      </c>
      <c r="K45" s="132"/>
    </row>
    <row r="46" spans="1:11" ht="18">
      <c r="A46" s="23" t="s">
        <v>3</v>
      </c>
      <c r="B46" s="42">
        <v>7087.7</v>
      </c>
      <c r="C46" s="43">
        <v>10529.7</v>
      </c>
      <c r="D46" s="44">
        <f>102.7+154.9+447.3+314.1+572.1+284.8+559+325.4+510.8+301.6+29.6+556.7+0.1+311.9+684.4+334.8+585.4</f>
        <v>6075.599999999999</v>
      </c>
      <c r="E46" s="1">
        <f>D46/D45*100</f>
        <v>90.26028048490609</v>
      </c>
      <c r="F46" s="1">
        <f aca="true" t="shared" si="6" ref="F46:F74">D46/B46*100</f>
        <v>85.72033240684566</v>
      </c>
      <c r="G46" s="1">
        <f t="shared" si="4"/>
        <v>57.69964956266559</v>
      </c>
      <c r="H46" s="44">
        <f aca="true" t="shared" si="7" ref="H46:H74">B46-D46</f>
        <v>1012.1000000000004</v>
      </c>
      <c r="I46" s="44">
        <f t="shared" si="5"/>
        <v>4454.100000000001</v>
      </c>
      <c r="K46" s="132"/>
    </row>
    <row r="47" spans="1:11" ht="18">
      <c r="A47" s="23" t="s">
        <v>2</v>
      </c>
      <c r="B47" s="42">
        <v>0.8</v>
      </c>
      <c r="C47" s="43">
        <v>1.4</v>
      </c>
      <c r="D47" s="44">
        <f>0.4+0.4</f>
        <v>0.8</v>
      </c>
      <c r="E47" s="1">
        <f>D47/D45*100</f>
        <v>0.011884953648680769</v>
      </c>
      <c r="F47" s="1">
        <f t="shared" si="6"/>
        <v>100</v>
      </c>
      <c r="G47" s="1">
        <f t="shared" si="4"/>
        <v>57.14285714285715</v>
      </c>
      <c r="H47" s="44">
        <f t="shared" si="7"/>
        <v>0</v>
      </c>
      <c r="I47" s="44">
        <f t="shared" si="5"/>
        <v>0.5999999999999999</v>
      </c>
      <c r="K47" s="132"/>
    </row>
    <row r="48" spans="1:11" ht="18">
      <c r="A48" s="23" t="s">
        <v>1</v>
      </c>
      <c r="B48" s="42">
        <v>48.4</v>
      </c>
      <c r="C48" s="43">
        <f>73.4+0.9</f>
        <v>74.30000000000001</v>
      </c>
      <c r="D48" s="44">
        <f>5.4+5.6+7.3+6+2.1+4.3+6.6</f>
        <v>37.300000000000004</v>
      </c>
      <c r="E48" s="1">
        <f>D48/D45*100</f>
        <v>0.554135963869741</v>
      </c>
      <c r="F48" s="1">
        <f t="shared" si="6"/>
        <v>77.06611570247935</v>
      </c>
      <c r="G48" s="1">
        <f t="shared" si="4"/>
        <v>50.20188425302826</v>
      </c>
      <c r="H48" s="44">
        <f t="shared" si="7"/>
        <v>11.099999999999994</v>
      </c>
      <c r="I48" s="44">
        <f t="shared" si="5"/>
        <v>37.00000000000001</v>
      </c>
      <c r="K48" s="132"/>
    </row>
    <row r="49" spans="1:11" ht="18">
      <c r="A49" s="23" t="s">
        <v>0</v>
      </c>
      <c r="B49" s="42">
        <v>564</v>
      </c>
      <c r="C49" s="43">
        <v>865.1</v>
      </c>
      <c r="D49" s="44">
        <f>3.1+3.5+1+0.7+59.3+95.2+2.2+6-0.1+53.5+89.7+6.2+7.2+73.9+0.4+4+3.2+30.6+0.2+2.7+3.1+5.4+3.6</f>
        <v>454.59999999999997</v>
      </c>
      <c r="E49" s="1">
        <f>D49/D45*100</f>
        <v>6.753624910862846</v>
      </c>
      <c r="F49" s="1">
        <f t="shared" si="6"/>
        <v>80.60283687943262</v>
      </c>
      <c r="G49" s="1">
        <f t="shared" si="4"/>
        <v>52.54883828459137</v>
      </c>
      <c r="H49" s="44">
        <f t="shared" si="7"/>
        <v>109.40000000000003</v>
      </c>
      <c r="I49" s="44">
        <f t="shared" si="5"/>
        <v>410.50000000000006</v>
      </c>
      <c r="K49" s="132"/>
    </row>
    <row r="50" spans="1:11" ht="18.75" thickBot="1">
      <c r="A50" s="23" t="s">
        <v>28</v>
      </c>
      <c r="B50" s="43">
        <f>B45-B46-B49-B48-B47</f>
        <v>210.79999999999998</v>
      </c>
      <c r="C50" s="43">
        <f>C45-C46-C49-C48-C47</f>
        <v>317.49999999999926</v>
      </c>
      <c r="D50" s="43">
        <f>D45-D46-D49-D48-D47</f>
        <v>162.90000000000128</v>
      </c>
      <c r="E50" s="1">
        <f>D50/D45*100</f>
        <v>2.4200736867126404</v>
      </c>
      <c r="F50" s="1">
        <f t="shared" si="6"/>
        <v>77.27703984819796</v>
      </c>
      <c r="G50" s="1">
        <f t="shared" si="4"/>
        <v>51.30708661417375</v>
      </c>
      <c r="H50" s="44">
        <f t="shared" si="7"/>
        <v>47.8999999999987</v>
      </c>
      <c r="I50" s="44">
        <f t="shared" si="5"/>
        <v>154.59999999999798</v>
      </c>
      <c r="K50" s="132"/>
    </row>
    <row r="51" spans="1:11" ht="18.75" thickBot="1">
      <c r="A51" s="22" t="s">
        <v>4</v>
      </c>
      <c r="B51" s="45">
        <v>15262.2</v>
      </c>
      <c r="C51" s="46">
        <f>23558.7+50+2250-940.4-1250+76.8+148+18.8</f>
        <v>23911.899999999998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</f>
        <v>13437.099999999999</v>
      </c>
      <c r="E51" s="3">
        <f>D51/D151*100</f>
        <v>1.3841980703987784</v>
      </c>
      <c r="F51" s="3">
        <f>D51/B51*100</f>
        <v>88.04169778930952</v>
      </c>
      <c r="G51" s="3">
        <f t="shared" si="4"/>
        <v>56.19419619519987</v>
      </c>
      <c r="H51" s="47">
        <f>B51-D51</f>
        <v>1825.1000000000022</v>
      </c>
      <c r="I51" s="47">
        <f t="shared" si="5"/>
        <v>10474.8</v>
      </c>
      <c r="K51" s="132"/>
    </row>
    <row r="52" spans="1:11" ht="18">
      <c r="A52" s="23" t="s">
        <v>3</v>
      </c>
      <c r="B52" s="42">
        <v>9611.2</v>
      </c>
      <c r="C52" s="43">
        <f>16189.8-940.4</f>
        <v>15249.4</v>
      </c>
      <c r="D52" s="44">
        <f>392.4+738.8+389.6+752.9+403.1+730.4+397.8+724.9+1.1+0.1+403+795.7+527.1+1240.6+386.5+33.7+705.7+0.1</f>
        <v>8623.5</v>
      </c>
      <c r="E52" s="1">
        <f>D52/D51*100</f>
        <v>64.1767940999174</v>
      </c>
      <c r="F52" s="1">
        <f t="shared" si="6"/>
        <v>89.72344764441485</v>
      </c>
      <c r="G52" s="1">
        <f t="shared" si="4"/>
        <v>56.54976589242856</v>
      </c>
      <c r="H52" s="44">
        <f t="shared" si="7"/>
        <v>987.7000000000007</v>
      </c>
      <c r="I52" s="44">
        <f t="shared" si="5"/>
        <v>6625.9</v>
      </c>
      <c r="K52" s="132"/>
    </row>
    <row r="53" spans="1:11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  <c r="K53" s="132"/>
    </row>
    <row r="54" spans="1:11" ht="18">
      <c r="A54" s="23" t="s">
        <v>1</v>
      </c>
      <c r="B54" s="42">
        <v>527</v>
      </c>
      <c r="C54" s="43">
        <v>810.2</v>
      </c>
      <c r="D54" s="44">
        <f>1.9+1.9+0.5+7.4+2.1+1.2+12.9+5.1+0.1+4.5+16.8+19.2+9.7+3.1+1.1+1.4+2.5+5.7+19.9+0.8+28.2+4+19.8+8.2+38.7+4.3+0.2+18.2+4.3+27.9+3.9+3+21+4+9.4+2.4+4.7+1.2+8.1+6.9+10.9+0.1</f>
        <v>347.1999999999999</v>
      </c>
      <c r="E54" s="1">
        <f>D54/D51*100</f>
        <v>2.5838908693095974</v>
      </c>
      <c r="F54" s="1">
        <f t="shared" si="6"/>
        <v>65.88235294117645</v>
      </c>
      <c r="G54" s="1">
        <f t="shared" si="4"/>
        <v>42.85361639101455</v>
      </c>
      <c r="H54" s="44">
        <f t="shared" si="7"/>
        <v>179.80000000000013</v>
      </c>
      <c r="I54" s="44">
        <f t="shared" si="5"/>
        <v>463.00000000000017</v>
      </c>
      <c r="K54" s="132"/>
    </row>
    <row r="55" spans="1:11" ht="18">
      <c r="A55" s="23" t="s">
        <v>0</v>
      </c>
      <c r="B55" s="42">
        <v>592.5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0.5+0.6+7.5+73.9+2.1+51.2+20.8+16.3+5.9+0.4+16.8+14.9+10.4+71.4+0.3+1.2+1.4+16+1.2+0.1+25+43+3.8+1.3+4.1+73.9-0.2+14.3+2.8+3+2.4+0.3+0.4+1.3+1.5+2+0.6+0.5+3+1.3+1.4+2</f>
        <v>500.60000000000014</v>
      </c>
      <c r="E55" s="1">
        <f>D55/D51*100</f>
        <v>3.7255062476278376</v>
      </c>
      <c r="F55" s="1">
        <f t="shared" si="6"/>
        <v>84.48945147679328</v>
      </c>
      <c r="G55" s="1">
        <f t="shared" si="4"/>
        <v>47.10642702550109</v>
      </c>
      <c r="H55" s="44">
        <f t="shared" si="7"/>
        <v>91.89999999999986</v>
      </c>
      <c r="I55" s="44">
        <f t="shared" si="5"/>
        <v>562.0999999999999</v>
      </c>
      <c r="K55" s="132"/>
    </row>
    <row r="56" spans="1:11" ht="18">
      <c r="A56" s="23" t="s">
        <v>14</v>
      </c>
      <c r="B56" s="42">
        <v>329.7</v>
      </c>
      <c r="C56" s="43">
        <v>518.9</v>
      </c>
      <c r="D56" s="43">
        <f>34+46+40+40+40+40+40</f>
        <v>280</v>
      </c>
      <c r="E56" s="1">
        <f>D56/D51*100</f>
        <v>2.0837829591206436</v>
      </c>
      <c r="F56" s="1">
        <f>D56/B56*100</f>
        <v>84.92569002123143</v>
      </c>
      <c r="G56" s="1">
        <f>D56/C56*100</f>
        <v>53.96030063596069</v>
      </c>
      <c r="H56" s="44">
        <f t="shared" si="7"/>
        <v>49.69999999999999</v>
      </c>
      <c r="I56" s="44">
        <f t="shared" si="5"/>
        <v>238.89999999999998</v>
      </c>
      <c r="K56" s="132"/>
    </row>
    <row r="57" spans="1:11" ht="18.75" thickBot="1">
      <c r="A57" s="23" t="s">
        <v>28</v>
      </c>
      <c r="B57" s="43">
        <f>B51-B52-B55-B54-B53-B56</f>
        <v>4201.8</v>
      </c>
      <c r="C57" s="43">
        <f>C51-C52-C55-C54-C53-C56</f>
        <v>6257.699999999999</v>
      </c>
      <c r="D57" s="43">
        <f>D51-D52-D55-D54-D53-D56</f>
        <v>3685.7999999999984</v>
      </c>
      <c r="E57" s="1">
        <f>D57/D51*100</f>
        <v>27.43002582402452</v>
      </c>
      <c r="F57" s="1">
        <f t="shared" si="6"/>
        <v>87.71954876481503</v>
      </c>
      <c r="G57" s="1">
        <f t="shared" si="4"/>
        <v>58.90023491059013</v>
      </c>
      <c r="H57" s="44">
        <f>B57-D57</f>
        <v>516.0000000000018</v>
      </c>
      <c r="I57" s="44">
        <f>C57-D57</f>
        <v>2571.9000000000005</v>
      </c>
      <c r="K57" s="132"/>
    </row>
    <row r="58" spans="1:11" s="37" customFormat="1" ht="19.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  <c r="K58" s="133"/>
    </row>
    <row r="59" spans="1:11" ht="18.75" thickBot="1">
      <c r="A59" s="22" t="s">
        <v>6</v>
      </c>
      <c r="B59" s="45">
        <v>6398.5</v>
      </c>
      <c r="C59" s="46">
        <f>7844.6+200-378.5+50</f>
        <v>7716.1</v>
      </c>
      <c r="D59" s="47">
        <f>55.6+0.2+146.1+0.4+60.8+0.4+59.3+73.6+0.1+18.6+1.9+67.3+0.4+57.5+0.6+144.6-4.5+32.9+1.2+79.7+73.5+4+0.1+78.7+72.2+0.1+9.9+53+0.1+12.7+6.3+29.9+85.7+69.4+15.3+39.7+11.2+39.1+0.1+101.9+64.5+93.3+45.9+65.6+272.8+119.4-0.1</f>
        <v>2161.0000000000005</v>
      </c>
      <c r="E59" s="3">
        <f>D59/D151*100</f>
        <v>0.22261142881512835</v>
      </c>
      <c r="F59" s="3">
        <f>D59/B59*100</f>
        <v>33.773540673595384</v>
      </c>
      <c r="G59" s="3">
        <f t="shared" si="4"/>
        <v>28.00637627817162</v>
      </c>
      <c r="H59" s="47">
        <f>B59-D59</f>
        <v>4237.5</v>
      </c>
      <c r="I59" s="47">
        <f t="shared" si="5"/>
        <v>5555.1</v>
      </c>
      <c r="K59" s="132"/>
    </row>
    <row r="60" spans="1:11" ht="18">
      <c r="A60" s="23" t="s">
        <v>3</v>
      </c>
      <c r="B60" s="42">
        <v>1713.1</v>
      </c>
      <c r="C60" s="43">
        <f>2900.3-339.6</f>
        <v>2560.7000000000003</v>
      </c>
      <c r="D60" s="44">
        <f>55.6+146.1+60.8+59.3+73.6+0.1+67.3+144.6-4.5+79.7+66.8+72.2-0.1+53+75.7+69.4+0.1+39.1+101.5+64.4+45.9+60.8+119.4</f>
        <v>1450.8000000000002</v>
      </c>
      <c r="E60" s="1">
        <f>D60/D59*100</f>
        <v>67.1355853771402</v>
      </c>
      <c r="F60" s="1">
        <f t="shared" si="6"/>
        <v>84.68857626525015</v>
      </c>
      <c r="G60" s="1">
        <f t="shared" si="4"/>
        <v>56.656383020267896</v>
      </c>
      <c r="H60" s="44">
        <f t="shared" si="7"/>
        <v>262.2999999999997</v>
      </c>
      <c r="I60" s="44">
        <f t="shared" si="5"/>
        <v>1109.9</v>
      </c>
      <c r="K60" s="132"/>
    </row>
    <row r="61" spans="1:11" ht="18">
      <c r="A61" s="23" t="s">
        <v>1</v>
      </c>
      <c r="B61" s="42">
        <v>343.7</v>
      </c>
      <c r="C61" s="43">
        <f>337.1+6.6</f>
        <v>343.70000000000005</v>
      </c>
      <c r="D61" s="44">
        <f>3.2+187.7</f>
        <v>190.89999999999998</v>
      </c>
      <c r="E61" s="1">
        <f>D61/D59*100</f>
        <v>8.83387320684868</v>
      </c>
      <c r="F61" s="1">
        <f>D61/B61*100</f>
        <v>55.542624381728245</v>
      </c>
      <c r="G61" s="1">
        <f t="shared" si="4"/>
        <v>55.54262438172823</v>
      </c>
      <c r="H61" s="44">
        <f t="shared" si="7"/>
        <v>152.8</v>
      </c>
      <c r="I61" s="44">
        <f t="shared" si="5"/>
        <v>152.80000000000007</v>
      </c>
      <c r="K61" s="132"/>
    </row>
    <row r="62" spans="1:11" ht="18">
      <c r="A62" s="23" t="s">
        <v>0</v>
      </c>
      <c r="B62" s="42">
        <v>224.5</v>
      </c>
      <c r="C62" s="43">
        <f>451.8-38.9</f>
        <v>412.90000000000003</v>
      </c>
      <c r="D62" s="44">
        <f>0.4+18.6+55.1+0.5+32.9+0.7+67.5+3.7+0.4+6.3+12.6+0.1+4.2+0.1+1.9+0.5+3.8</f>
        <v>209.29999999999998</v>
      </c>
      <c r="E62" s="1">
        <f>D62/D59*100</f>
        <v>9.685330865340118</v>
      </c>
      <c r="F62" s="1">
        <f t="shared" si="6"/>
        <v>93.2293986636971</v>
      </c>
      <c r="G62" s="1">
        <f t="shared" si="4"/>
        <v>50.69023976749818</v>
      </c>
      <c r="H62" s="44">
        <f t="shared" si="7"/>
        <v>15.200000000000017</v>
      </c>
      <c r="I62" s="44">
        <f t="shared" si="5"/>
        <v>203.60000000000005</v>
      </c>
      <c r="K62" s="132"/>
    </row>
    <row r="63" spans="1:11" ht="18">
      <c r="A63" s="23" t="s">
        <v>14</v>
      </c>
      <c r="B63" s="42">
        <v>3707.1</v>
      </c>
      <c r="C63" s="43">
        <v>3707.1</v>
      </c>
      <c r="D63" s="44">
        <v>89.8</v>
      </c>
      <c r="E63" s="1">
        <f>D63/D59*100</f>
        <v>4.155483572420175</v>
      </c>
      <c r="F63" s="1">
        <f t="shared" si="6"/>
        <v>2.422378678751585</v>
      </c>
      <c r="G63" s="1">
        <f t="shared" si="4"/>
        <v>2.422378678751585</v>
      </c>
      <c r="H63" s="44">
        <f t="shared" si="7"/>
        <v>3617.2999999999997</v>
      </c>
      <c r="I63" s="44">
        <f t="shared" si="5"/>
        <v>3617.2999999999997</v>
      </c>
      <c r="K63" s="132"/>
    </row>
    <row r="64" spans="1:11" ht="18.75" thickBot="1">
      <c r="A64" s="23" t="s">
        <v>28</v>
      </c>
      <c r="B64" s="43">
        <f>B59-B60-B62-B63-B61</f>
        <v>410.09999999999974</v>
      </c>
      <c r="C64" s="43">
        <f>C59-C60-C62-C63-C61</f>
        <v>691.7</v>
      </c>
      <c r="D64" s="43">
        <f>D59-D60-D62-D63-D61</f>
        <v>220.20000000000033</v>
      </c>
      <c r="E64" s="1">
        <f>D64/D59*100</f>
        <v>10.189726978250823</v>
      </c>
      <c r="F64" s="1">
        <f t="shared" si="6"/>
        <v>53.69422092172652</v>
      </c>
      <c r="G64" s="1">
        <f t="shared" si="4"/>
        <v>31.834610380222685</v>
      </c>
      <c r="H64" s="44">
        <f t="shared" si="7"/>
        <v>189.8999999999994</v>
      </c>
      <c r="I64" s="44">
        <f t="shared" si="5"/>
        <v>471.4999999999997</v>
      </c>
      <c r="K64" s="132"/>
    </row>
    <row r="65" spans="1:11" s="37" customFormat="1" ht="19.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  <c r="K65" s="133"/>
    </row>
    <row r="66" spans="1:11" s="37" customFormat="1" ht="19.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  <c r="K66" s="133"/>
    </row>
    <row r="67" spans="1:11" s="37" customFormat="1" ht="19.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  <c r="K67" s="133"/>
    </row>
    <row r="68" spans="1:11" s="37" customFormat="1" ht="19.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  <c r="K68" s="133"/>
    </row>
    <row r="69" spans="1:11" ht="18.75" thickBot="1">
      <c r="A69" s="22" t="s">
        <v>20</v>
      </c>
      <c r="B69" s="46">
        <f>B70+B71</f>
        <v>342.4</v>
      </c>
      <c r="C69" s="46">
        <f>C70+C71</f>
        <v>397.5</v>
      </c>
      <c r="D69" s="47">
        <f>SUM(D70:D71)</f>
        <v>242.49999999999997</v>
      </c>
      <c r="E69" s="35">
        <f>D69/D151*100</f>
        <v>0.024980690184020646</v>
      </c>
      <c r="F69" s="3">
        <f>D69/B69*100</f>
        <v>70.82359813084112</v>
      </c>
      <c r="G69" s="3">
        <f t="shared" si="4"/>
        <v>61.0062893081761</v>
      </c>
      <c r="H69" s="47">
        <f>B69-D69</f>
        <v>99.9</v>
      </c>
      <c r="I69" s="47">
        <f t="shared" si="5"/>
        <v>155.00000000000003</v>
      </c>
      <c r="K69" s="132"/>
    </row>
    <row r="70" spans="1:11" ht="18">
      <c r="A70" s="23" t="s">
        <v>8</v>
      </c>
      <c r="B70" s="42">
        <v>287</v>
      </c>
      <c r="C70" s="43">
        <f>289-2</f>
        <v>287</v>
      </c>
      <c r="D70" s="44">
        <f>19.2+1.5+170.6+1.2+17.7+0.1+11+3+9.5-0.1+2.3</f>
        <v>235.99999999999997</v>
      </c>
      <c r="E70" s="1">
        <f>D70/D69*100</f>
        <v>97.31958762886597</v>
      </c>
      <c r="F70" s="1">
        <f t="shared" si="6"/>
        <v>82.22996515679442</v>
      </c>
      <c r="G70" s="1">
        <f t="shared" si="4"/>
        <v>82.22996515679442</v>
      </c>
      <c r="H70" s="44">
        <f t="shared" si="7"/>
        <v>51.00000000000003</v>
      </c>
      <c r="I70" s="44">
        <f t="shared" si="5"/>
        <v>51.00000000000003</v>
      </c>
      <c r="K70" s="132"/>
    </row>
    <row r="71" spans="1:11" ht="18.75" thickBot="1">
      <c r="A71" s="23" t="s">
        <v>9</v>
      </c>
      <c r="B71" s="42">
        <v>55.4</v>
      </c>
      <c r="C71" s="43">
        <f>267.3-68.6-27.9+0.7-15-6.9-19.6-19.5</f>
        <v>110.5</v>
      </c>
      <c r="D71" s="44">
        <f>6.5</f>
        <v>6.5</v>
      </c>
      <c r="E71" s="1">
        <f>D71/D70*100</f>
        <v>2.7542372881355934</v>
      </c>
      <c r="F71" s="1">
        <f t="shared" si="6"/>
        <v>11.732851985559567</v>
      </c>
      <c r="G71" s="1">
        <f t="shared" si="4"/>
        <v>5.88235294117647</v>
      </c>
      <c r="H71" s="44">
        <f t="shared" si="7"/>
        <v>48.9</v>
      </c>
      <c r="I71" s="44">
        <f t="shared" si="5"/>
        <v>104</v>
      </c>
      <c r="K71" s="132"/>
    </row>
    <row r="72" spans="1:11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  <c r="K72" s="132"/>
    </row>
    <row r="73" spans="1:11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  <c r="K73" s="132"/>
    </row>
    <row r="74" spans="1:11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  <c r="K74" s="132"/>
    </row>
    <row r="75" spans="1:11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  <c r="K75" s="132"/>
    </row>
    <row r="76" spans="1:11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  <c r="K76" s="132"/>
    </row>
    <row r="77" spans="1:11" s="37" customFormat="1" ht="19.5" thickBot="1">
      <c r="A77" s="25" t="s">
        <v>13</v>
      </c>
      <c r="B77" s="55">
        <v>912.9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</v>
      </c>
      <c r="I77" s="63">
        <f t="shared" si="5"/>
        <v>912.9000000000001</v>
      </c>
      <c r="K77" s="133"/>
    </row>
    <row r="78" spans="1:11" ht="8.25" customHeight="1" thickBot="1">
      <c r="A78" s="18"/>
      <c r="B78" s="51"/>
      <c r="C78" s="60"/>
      <c r="D78" s="61"/>
      <c r="E78" s="6"/>
      <c r="F78" s="6"/>
      <c r="G78" s="6"/>
      <c r="H78" s="61"/>
      <c r="I78" s="120"/>
      <c r="K78" s="132"/>
    </row>
    <row r="79" spans="1:11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  <c r="K79" s="132"/>
    </row>
    <row r="80" spans="1:11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  <c r="K80" s="134"/>
    </row>
    <row r="81" spans="1:11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  <c r="K81" s="134"/>
    </row>
    <row r="82" spans="1:11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  <c r="K82" s="134"/>
    </row>
    <row r="83" spans="1:11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  <c r="K83" s="134"/>
    </row>
    <row r="84" spans="1:11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  <c r="K84" s="132"/>
    </row>
    <row r="85" spans="1:11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  <c r="K85" s="132"/>
    </row>
    <row r="86" spans="1:11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  <c r="K86" s="132"/>
    </row>
    <row r="87" spans="1:11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  <c r="K87" s="132"/>
    </row>
    <row r="88" spans="1:11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  <c r="K88" s="132"/>
    </row>
    <row r="89" spans="1:11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  <c r="K89" s="132"/>
    </row>
    <row r="90" spans="1:11" ht="19.5" thickBot="1">
      <c r="A90" s="13" t="s">
        <v>10</v>
      </c>
      <c r="B90" s="54">
        <v>107720.6</v>
      </c>
      <c r="C90" s="46">
        <f>157960+265+0.3+29.6</f>
        <v>158254.9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+429.1+6414+3323.9+36.7-0.1+8.4+212.3+70.1+36.6+7.2+110.1+1542.8+2778.2+781.7+1+23.8+89.1+38.5+36.8+136.8+51+456.9+2694+5470.1+1854.7+3.9+348</f>
        <v>70490.70000000001</v>
      </c>
      <c r="E90" s="3">
        <f>D90/D151*100</f>
        <v>7.261469433215441</v>
      </c>
      <c r="F90" s="3">
        <f aca="true" t="shared" si="10" ref="F90:F96">D90/B90*100</f>
        <v>65.4384583821479</v>
      </c>
      <c r="G90" s="3">
        <f t="shared" si="8"/>
        <v>44.54250705665355</v>
      </c>
      <c r="H90" s="47">
        <f aca="true" t="shared" si="11" ref="H90:H96">B90-D90</f>
        <v>37229.899999999994</v>
      </c>
      <c r="I90" s="47">
        <f t="shared" si="9"/>
        <v>87764.19999999998</v>
      </c>
      <c r="K90" s="132"/>
    </row>
    <row r="91" spans="1:11" ht="18">
      <c r="A91" s="23" t="s">
        <v>3</v>
      </c>
      <c r="B91" s="42">
        <v>99959.7</v>
      </c>
      <c r="C91" s="43">
        <f>148246.2-137.7-228.3-64.5-80</f>
        <v>147735.7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</f>
        <v>65633.1</v>
      </c>
      <c r="E91" s="1">
        <f>D91/D90*100</f>
        <v>93.1088781924424</v>
      </c>
      <c r="F91" s="1">
        <f t="shared" si="10"/>
        <v>65.65956080300361</v>
      </c>
      <c r="G91" s="1">
        <f t="shared" si="8"/>
        <v>44.426025666105076</v>
      </c>
      <c r="H91" s="44">
        <f t="shared" si="11"/>
        <v>34326.59999999999</v>
      </c>
      <c r="I91" s="44">
        <f t="shared" si="9"/>
        <v>82102.6</v>
      </c>
      <c r="K91" s="132"/>
    </row>
    <row r="92" spans="1:11" ht="18">
      <c r="A92" s="23" t="s">
        <v>26</v>
      </c>
      <c r="B92" s="42">
        <v>1537.2</v>
      </c>
      <c r="C92" s="43">
        <v>2620.6</v>
      </c>
      <c r="D92" s="44">
        <f>48.5+5.1+5+1.3+22.8+67.3+62.7+3.5+1.4+40.6+112.7+571.4+55.5+1.7+2.4+3.1+83.6+0.9+1.4+3.5+0.9+23.5+44.4+1+13.6+0.7+42.8+22.3+44+0.7</f>
        <v>1288.3000000000002</v>
      </c>
      <c r="E92" s="1">
        <f>D92/D90*100</f>
        <v>1.8276169764238404</v>
      </c>
      <c r="F92" s="1">
        <f t="shared" si="10"/>
        <v>83.80822274264898</v>
      </c>
      <c r="G92" s="1">
        <f t="shared" si="8"/>
        <v>49.1604975959704</v>
      </c>
      <c r="H92" s="44">
        <f t="shared" si="11"/>
        <v>248.89999999999986</v>
      </c>
      <c r="I92" s="44">
        <f t="shared" si="9"/>
        <v>1332.2999999999997</v>
      </c>
      <c r="K92" s="132"/>
    </row>
    <row r="93" spans="1:11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  <c r="K93" s="132"/>
    </row>
    <row r="94" spans="1:11" ht="18.75" thickBot="1">
      <c r="A94" s="23" t="s">
        <v>28</v>
      </c>
      <c r="B94" s="43">
        <f>B90-B91-B92-B93</f>
        <v>6223.700000000009</v>
      </c>
      <c r="C94" s="43">
        <f>C90-C91-C92-C93</f>
        <v>7898.599999999982</v>
      </c>
      <c r="D94" s="43">
        <f>D90-D91-D92-D93</f>
        <v>3569.3000000000056</v>
      </c>
      <c r="E94" s="1">
        <f>D94/D90*100</f>
        <v>5.06350483113376</v>
      </c>
      <c r="F94" s="1">
        <f t="shared" si="10"/>
        <v>57.350129344280745</v>
      </c>
      <c r="G94" s="1">
        <f>D94/C94*100</f>
        <v>45.18902083913623</v>
      </c>
      <c r="H94" s="44">
        <f t="shared" si="11"/>
        <v>2654.4000000000033</v>
      </c>
      <c r="I94" s="44">
        <f>C94-D94</f>
        <v>4329.2999999999765</v>
      </c>
      <c r="K94" s="132"/>
    </row>
    <row r="95" spans="1:11" ht="18.75">
      <c r="A95" s="108" t="s">
        <v>12</v>
      </c>
      <c r="B95" s="128">
        <v>44044.4</v>
      </c>
      <c r="C95" s="112">
        <f>59880.5+5316.8+172.8+165-3329.3+408.2</f>
        <v>62614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</f>
        <v>36733.1</v>
      </c>
      <c r="E95" s="107">
        <f>D95/D151*100</f>
        <v>3.7839925385511286</v>
      </c>
      <c r="F95" s="110">
        <f t="shared" si="10"/>
        <v>83.4001598387082</v>
      </c>
      <c r="G95" s="106">
        <f>D95/C95*100</f>
        <v>58.665953301178654</v>
      </c>
      <c r="H95" s="111">
        <f t="shared" si="11"/>
        <v>7311.300000000003</v>
      </c>
      <c r="I95" s="121">
        <f>C95-D95</f>
        <v>25880.9</v>
      </c>
      <c r="K95" s="132"/>
    </row>
    <row r="96" spans="1:11" ht="18.75" thickBot="1">
      <c r="A96" s="109" t="s">
        <v>84</v>
      </c>
      <c r="B96" s="113">
        <v>6602.1</v>
      </c>
      <c r="C96" s="114">
        <f>10660.3-133.5+11.8</f>
        <v>10538.599999999999</v>
      </c>
      <c r="D96" s="115">
        <f>69.1+1043.7+68.3+1051.8+1+68.3+66.1+938.4+3+68.7+11.3+4.3+734+67.7+6.3+0.4+21.5+2.2+658.8+0.1+17.8+71.8+130.4+525.1</f>
        <v>5630.1</v>
      </c>
      <c r="E96" s="116">
        <f>D96/D95*100</f>
        <v>15.327048356931488</v>
      </c>
      <c r="F96" s="117">
        <f t="shared" si="10"/>
        <v>85.27741173263053</v>
      </c>
      <c r="G96" s="118">
        <f>D96/C96*100</f>
        <v>53.42360465336953</v>
      </c>
      <c r="H96" s="122">
        <f t="shared" si="11"/>
        <v>972</v>
      </c>
      <c r="I96" s="123">
        <f>C96-D96</f>
        <v>4908.499999999998</v>
      </c>
      <c r="K96" s="132"/>
    </row>
    <row r="97" spans="1:11" ht="8.25" customHeight="1" thickBot="1">
      <c r="A97" s="18"/>
      <c r="B97" s="51"/>
      <c r="C97" s="60"/>
      <c r="D97" s="61"/>
      <c r="E97" s="6"/>
      <c r="F97" s="6"/>
      <c r="G97" s="6"/>
      <c r="H97" s="61"/>
      <c r="I97" s="61"/>
      <c r="K97" s="132"/>
    </row>
    <row r="98" spans="1:11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  <c r="K98" s="132"/>
    </row>
    <row r="99" spans="1:11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  <c r="K99" s="132"/>
    </row>
    <row r="100" spans="1:11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  <c r="K100" s="135"/>
    </row>
    <row r="101" spans="1:11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  <c r="K101" s="132"/>
    </row>
    <row r="102" spans="1:11" s="37" customFormat="1" ht="19.5" thickBot="1">
      <c r="A102" s="13" t="s">
        <v>11</v>
      </c>
      <c r="B102" s="127">
        <v>9055.2</v>
      </c>
      <c r="C102" s="92">
        <f>12999.2-348+46.7-53.7+124.7-124.6+10.7+5.1+0.1+19.5</f>
        <v>12679.700000000003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</f>
        <v>5941.999999999998</v>
      </c>
      <c r="E102" s="19">
        <f>D102/D151*100</f>
        <v>0.6121041693750541</v>
      </c>
      <c r="F102" s="19">
        <f>D102/B102*100</f>
        <v>65.61975439526458</v>
      </c>
      <c r="G102" s="19">
        <f aca="true" t="shared" si="12" ref="G102:G149">D102/C102*100</f>
        <v>46.86230746784227</v>
      </c>
      <c r="H102" s="79">
        <f aca="true" t="shared" si="13" ref="H102:H107">B102-D102</f>
        <v>3113.2000000000025</v>
      </c>
      <c r="I102" s="79">
        <f aca="true" t="shared" si="14" ref="I102:I149">C102-D102</f>
        <v>6737.700000000004</v>
      </c>
      <c r="K102" s="133"/>
    </row>
    <row r="103" spans="1:11" ht="18">
      <c r="A103" s="23" t="s">
        <v>3</v>
      </c>
      <c r="B103" s="89">
        <v>184.5</v>
      </c>
      <c r="C103" s="87">
        <v>259.1</v>
      </c>
      <c r="D103" s="87">
        <f>17.3+10+11+0.1+10.9+18.9+0.1+11+25.2+18.3+2.4</f>
        <v>125.19999999999999</v>
      </c>
      <c r="E103" s="83">
        <f>D103/D102*100</f>
        <v>2.1070346684617975</v>
      </c>
      <c r="F103" s="1">
        <f>D103/B103*100</f>
        <v>67.8590785907859</v>
      </c>
      <c r="G103" s="83">
        <f>D103/C103*100</f>
        <v>48.32111153994596</v>
      </c>
      <c r="H103" s="87">
        <f t="shared" si="13"/>
        <v>59.30000000000001</v>
      </c>
      <c r="I103" s="87">
        <f t="shared" si="14"/>
        <v>133.90000000000003</v>
      </c>
      <c r="K103" s="132"/>
    </row>
    <row r="104" spans="1:11" ht="18">
      <c r="A104" s="85" t="s">
        <v>49</v>
      </c>
      <c r="B104" s="74">
        <v>7440.7</v>
      </c>
      <c r="C104" s="44">
        <f>10720.8-348+46.7-56.3+125.1-124.6-51.5+5.1+21.6</f>
        <v>10338.900000000001</v>
      </c>
      <c r="D104" s="44">
        <f>139.3+4+202+15.3-0.1+4+25.4+141.4+9.8+31.2+1.1+390.1+50+2+0.1+51.6+111.9+69.9+132+193.8+143.3+175.1+39.1+393+24.9+117+131.2+30.6+5+5+134.6+137.3+5+34.9+31.2+66.7+136.1+61.2+82.4+574+566.9+64.7+43+15.7+140+40.1+6+29.7+8+7+16.7+2+18.1+20.7+40</f>
        <v>4920.999999999999</v>
      </c>
      <c r="E104" s="1">
        <f>D104/D102*100</f>
        <v>82.81723325479638</v>
      </c>
      <c r="F104" s="1">
        <f aca="true" t="shared" si="15" ref="F104:F149">D104/B104*100</f>
        <v>66.1362506215813</v>
      </c>
      <c r="G104" s="1">
        <f t="shared" si="12"/>
        <v>47.596939713122275</v>
      </c>
      <c r="H104" s="44">
        <f t="shared" si="13"/>
        <v>2519.7000000000007</v>
      </c>
      <c r="I104" s="44">
        <f t="shared" si="14"/>
        <v>5417.900000000002</v>
      </c>
      <c r="K104" s="132"/>
    </row>
    <row r="105" spans="1:11" ht="54.7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  <c r="K105" s="132"/>
    </row>
    <row r="106" spans="1:11" ht="18.75" thickBot="1">
      <c r="A106" s="86" t="s">
        <v>28</v>
      </c>
      <c r="B106" s="88">
        <f>B102-B103-B104</f>
        <v>1430.000000000001</v>
      </c>
      <c r="C106" s="88">
        <f>C102-C103-C104</f>
        <v>2081.7000000000007</v>
      </c>
      <c r="D106" s="88">
        <f>D102-D103-D104</f>
        <v>895.7999999999993</v>
      </c>
      <c r="E106" s="84">
        <f>D106/D102*100</f>
        <v>15.07573207674183</v>
      </c>
      <c r="F106" s="84">
        <f t="shared" si="15"/>
        <v>62.643356643356555</v>
      </c>
      <c r="G106" s="84">
        <f t="shared" si="12"/>
        <v>43.03213719556127</v>
      </c>
      <c r="H106" s="123">
        <f>B106-D106</f>
        <v>534.2000000000016</v>
      </c>
      <c r="I106" s="123">
        <f t="shared" si="14"/>
        <v>1185.9000000000015</v>
      </c>
      <c r="K106" s="132"/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310944.20000000007</v>
      </c>
      <c r="C107" s="81">
        <f>SUM(C108:C148)-C115-C119+C149-C140-C141-C109-C112-C122-C123-C138-C131-C129-C136</f>
        <v>532039</v>
      </c>
      <c r="D107" s="81">
        <f>SUM(D108:D148)-D115-D119+D149-D140-D141-D109-D112-D122-D123-D138-D131-D129-D136</f>
        <v>212085.79999999996</v>
      </c>
      <c r="E107" s="82">
        <f>D107/D151*100</f>
        <v>21.84762747311408</v>
      </c>
      <c r="F107" s="82">
        <f>D107/B107*100</f>
        <v>68.20702878522896</v>
      </c>
      <c r="G107" s="82">
        <f t="shared" si="12"/>
        <v>39.86282960459665</v>
      </c>
      <c r="H107" s="81">
        <f t="shared" si="13"/>
        <v>98858.40000000011</v>
      </c>
      <c r="I107" s="81">
        <f t="shared" si="14"/>
        <v>319953.20000000007</v>
      </c>
    </row>
    <row r="108" spans="1:9" ht="37.5">
      <c r="A108" s="28" t="s">
        <v>53</v>
      </c>
      <c r="B108" s="71">
        <v>2647.3</v>
      </c>
      <c r="C108" s="67">
        <v>4095.6</v>
      </c>
      <c r="D108" s="72">
        <f>12.6+3.2+110.8+149.9+0.1+86+66+19.9+30.9+1.3+4.4+3.9+8.5+1.6+0.1+167.2+12.2+0.7+2+1.4+0.1+115.6+14.7+10.7+8.1+0.6+3.1+4.1+2.8-0.2+122.3+40.3+0.6+1.6+1.5+0.1+131+0.3+1.6+2.9+14.2</f>
        <v>1158.7000000000003</v>
      </c>
      <c r="E108" s="6">
        <f>D108/D107*100</f>
        <v>0.5463354925223661</v>
      </c>
      <c r="F108" s="6">
        <f t="shared" si="15"/>
        <v>43.769123257658755</v>
      </c>
      <c r="G108" s="6">
        <f t="shared" si="12"/>
        <v>28.291337044633273</v>
      </c>
      <c r="H108" s="61">
        <f aca="true" t="shared" si="16" ref="H108:H149">B108-D108</f>
        <v>1488.6</v>
      </c>
      <c r="I108" s="61">
        <f t="shared" si="14"/>
        <v>2936.8999999999996</v>
      </c>
    </row>
    <row r="109" spans="1:9" ht="18">
      <c r="A109" s="23" t="s">
        <v>26</v>
      </c>
      <c r="B109" s="74">
        <v>1630.1</v>
      </c>
      <c r="C109" s="44">
        <v>2633.8</v>
      </c>
      <c r="D109" s="75">
        <f>68.3+138.7+47.8+60.9+18.1+30+81.4+40.6+14.7+2.7+31.2+33.2</f>
        <v>567.6000000000001</v>
      </c>
      <c r="E109" s="1">
        <f>D109/D108*100</f>
        <v>48.9859325105722</v>
      </c>
      <c r="F109" s="1">
        <f t="shared" si="15"/>
        <v>34.81994969633766</v>
      </c>
      <c r="G109" s="1">
        <f t="shared" si="12"/>
        <v>21.550611284076243</v>
      </c>
      <c r="H109" s="44">
        <f t="shared" si="16"/>
        <v>1062.4999999999998</v>
      </c>
      <c r="I109" s="44">
        <f t="shared" si="14"/>
        <v>2066.2</v>
      </c>
    </row>
    <row r="110" spans="1:9" ht="34.5" customHeight="1">
      <c r="A110" s="16" t="s">
        <v>79</v>
      </c>
      <c r="B110" s="73">
        <v>899.1</v>
      </c>
      <c r="C110" s="61">
        <v>1175.4</v>
      </c>
      <c r="D110" s="72">
        <f>11.8+87.5+28+44.4+7.5+8.9+32.2</f>
        <v>220.3</v>
      </c>
      <c r="E110" s="6">
        <f>D110/D107*100</f>
        <v>0.10387305515032125</v>
      </c>
      <c r="F110" s="6">
        <f>D110/B110*100</f>
        <v>24.502280057835616</v>
      </c>
      <c r="G110" s="6">
        <f t="shared" si="12"/>
        <v>18.742555725710396</v>
      </c>
      <c r="H110" s="61">
        <f t="shared" si="16"/>
        <v>678.8</v>
      </c>
      <c r="I110" s="61">
        <f t="shared" si="14"/>
        <v>955.1000000000001</v>
      </c>
    </row>
    <row r="111" spans="1:9" s="37" customFormat="1" ht="34.5" customHeight="1">
      <c r="A111" s="16" t="s">
        <v>98</v>
      </c>
      <c r="B111" s="73">
        <v>171.7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171.7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93</v>
      </c>
      <c r="B113" s="73">
        <v>60</v>
      </c>
      <c r="C113" s="61">
        <v>60</v>
      </c>
      <c r="D113" s="72">
        <f>9.1+9.1+9.8</f>
        <v>28</v>
      </c>
      <c r="E113" s="6">
        <f>D113/D107*100</f>
        <v>0.013202204013658625</v>
      </c>
      <c r="F113" s="6">
        <f t="shared" si="15"/>
        <v>46.666666666666664</v>
      </c>
      <c r="G113" s="6">
        <f t="shared" si="12"/>
        <v>46.666666666666664</v>
      </c>
      <c r="H113" s="61">
        <f t="shared" si="16"/>
        <v>32</v>
      </c>
      <c r="I113" s="61">
        <f t="shared" si="14"/>
        <v>32</v>
      </c>
    </row>
    <row r="114" spans="1:9" ht="37.5">
      <c r="A114" s="16" t="s">
        <v>39</v>
      </c>
      <c r="B114" s="73">
        <v>1967.8</v>
      </c>
      <c r="C114" s="61">
        <f>2915.4+6.2</f>
        <v>2921.6</v>
      </c>
      <c r="D114" s="72">
        <f>136.4+40+10+2+0.1+10.6+142+54.3+10.6+6.6+21.9+41.3+8.2+239.5+0.2+6.2+0.7+26.9+145.7+54.9+4+2+1.1+3.5+2.2+195.9+3.8+0.4+0.2+181.5+10+1.7+7.3+203.7+0.1</f>
        <v>1575.5000000000002</v>
      </c>
      <c r="E114" s="6">
        <f>D114/D107*100</f>
        <v>0.7428597294113989</v>
      </c>
      <c r="F114" s="6">
        <f t="shared" si="15"/>
        <v>80.06403089744894</v>
      </c>
      <c r="G114" s="6">
        <f t="shared" si="12"/>
        <v>53.92593099671414</v>
      </c>
      <c r="H114" s="61">
        <f t="shared" si="16"/>
        <v>392.2999999999997</v>
      </c>
      <c r="I114" s="61">
        <f t="shared" si="14"/>
        <v>1346.0999999999997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119</v>
      </c>
      <c r="C117" s="61">
        <f>99+100</f>
        <v>199</v>
      </c>
      <c r="D117" s="72">
        <f>18</f>
        <v>18</v>
      </c>
      <c r="E117" s="6">
        <f>D117/D107*100</f>
        <v>0.008487131151637689</v>
      </c>
      <c r="F117" s="6">
        <f>D117/B117*100</f>
        <v>15.126050420168067</v>
      </c>
      <c r="G117" s="6">
        <f t="shared" si="12"/>
        <v>9.045226130653267</v>
      </c>
      <c r="H117" s="61">
        <f t="shared" si="16"/>
        <v>101</v>
      </c>
      <c r="I117" s="61">
        <f t="shared" si="14"/>
        <v>181</v>
      </c>
    </row>
    <row r="118" spans="1:9" s="2" customFormat="1" ht="18.75">
      <c r="A118" s="16" t="s">
        <v>15</v>
      </c>
      <c r="B118" s="73">
        <v>244.4</v>
      </c>
      <c r="C118" s="53">
        <v>422.8</v>
      </c>
      <c r="D118" s="72">
        <f>39+5+6.2+39.1+4.9+0.4+0.8+39+0.1+5.5+0.9+39+4.8+1.3+39-0.1+0.8+0.4+5+0.8+5.1+0.2</f>
        <v>237.20000000000007</v>
      </c>
      <c r="E118" s="6">
        <f>D118/D107*100</f>
        <v>0.11184152828713667</v>
      </c>
      <c r="F118" s="6">
        <f t="shared" si="15"/>
        <v>97.05400981996729</v>
      </c>
      <c r="G118" s="6">
        <f t="shared" si="12"/>
        <v>56.10217596972566</v>
      </c>
      <c r="H118" s="61">
        <f t="shared" si="16"/>
        <v>7.199999999999932</v>
      </c>
      <c r="I118" s="61">
        <f t="shared" si="14"/>
        <v>185.59999999999994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39+39.1+39+39.1+39</f>
        <v>195.2</v>
      </c>
      <c r="E119" s="1">
        <f>D119/D118*100</f>
        <v>82.29342327150081</v>
      </c>
      <c r="F119" s="1">
        <f t="shared" si="15"/>
        <v>100</v>
      </c>
      <c r="G119" s="1">
        <f t="shared" si="12"/>
        <v>55.54923164484917</v>
      </c>
      <c r="H119" s="44">
        <f t="shared" si="16"/>
        <v>0</v>
      </c>
      <c r="I119" s="44">
        <f t="shared" si="14"/>
        <v>156.2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99</v>
      </c>
      <c r="B121" s="73">
        <v>238.6</v>
      </c>
      <c r="C121" s="53">
        <v>520</v>
      </c>
      <c r="D121" s="76">
        <f>49.4+11+30.6</f>
        <v>91</v>
      </c>
      <c r="E121" s="17">
        <f>D121/D107*100</f>
        <v>0.04290716304439054</v>
      </c>
      <c r="F121" s="6">
        <f t="shared" si="15"/>
        <v>38.139145012573344</v>
      </c>
      <c r="G121" s="6">
        <f t="shared" si="12"/>
        <v>17.5</v>
      </c>
      <c r="H121" s="61">
        <f t="shared" si="16"/>
        <v>147.6</v>
      </c>
      <c r="I121" s="61">
        <f t="shared" si="14"/>
        <v>429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100</v>
      </c>
      <c r="B124" s="73">
        <v>26129.2</v>
      </c>
      <c r="C124" s="53">
        <f>33585.8+9933.2-1212.8-350</f>
        <v>41956.2</v>
      </c>
      <c r="D124" s="76">
        <f>3483.8+2635.6+1853.3+812.9+1333.3+1694.1+1722.4+661.9+934+1328+225+1781.5+1097.2+0.1+1902.6+1343</f>
        <v>22808.699999999997</v>
      </c>
      <c r="E124" s="17">
        <f>D124/D107*100</f>
        <v>10.754468238797694</v>
      </c>
      <c r="F124" s="6">
        <f t="shared" si="15"/>
        <v>87.29199516250019</v>
      </c>
      <c r="G124" s="6">
        <f t="shared" si="12"/>
        <v>54.36312154103565</v>
      </c>
      <c r="H124" s="61">
        <f t="shared" si="16"/>
        <v>3320.5000000000036</v>
      </c>
      <c r="I124" s="61">
        <f t="shared" si="14"/>
        <v>19147.5</v>
      </c>
    </row>
    <row r="125" spans="1:9" s="2" customFormat="1" ht="18.75">
      <c r="A125" s="16" t="s">
        <v>95</v>
      </c>
      <c r="B125" s="73">
        <v>695</v>
      </c>
      <c r="C125" s="53">
        <f>585+110</f>
        <v>695</v>
      </c>
      <c r="D125" s="76">
        <f>10+6</f>
        <v>16</v>
      </c>
      <c r="E125" s="17">
        <f>D125/D107*100</f>
        <v>0.007544116579233501</v>
      </c>
      <c r="F125" s="6">
        <f t="shared" si="15"/>
        <v>2.302158273381295</v>
      </c>
      <c r="G125" s="6">
        <f t="shared" si="12"/>
        <v>2.302158273381295</v>
      </c>
      <c r="H125" s="61">
        <f t="shared" si="16"/>
        <v>679</v>
      </c>
      <c r="I125" s="61">
        <f t="shared" si="14"/>
        <v>679</v>
      </c>
    </row>
    <row r="126" spans="1:12" s="2" customFormat="1" ht="37.5">
      <c r="A126" s="16" t="s">
        <v>105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  <c r="L126" s="129"/>
    </row>
    <row r="127" spans="1:9" s="2" customFormat="1" ht="37.5">
      <c r="A127" s="16" t="s">
        <v>86</v>
      </c>
      <c r="B127" s="73">
        <v>81.6</v>
      </c>
      <c r="C127" s="53">
        <v>81.6</v>
      </c>
      <c r="D127" s="76">
        <v>19.7</v>
      </c>
      <c r="E127" s="17">
        <f>D127/D107*100</f>
        <v>0.009288693538181247</v>
      </c>
      <c r="F127" s="6">
        <f t="shared" si="15"/>
        <v>24.142156862745097</v>
      </c>
      <c r="G127" s="6">
        <f t="shared" si="12"/>
        <v>24.142156862745097</v>
      </c>
      <c r="H127" s="61">
        <f t="shared" si="16"/>
        <v>61.89999999999999</v>
      </c>
      <c r="I127" s="61">
        <f t="shared" si="14"/>
        <v>61.89999999999999</v>
      </c>
    </row>
    <row r="128" spans="1:9" s="2" customFormat="1" ht="37.5">
      <c r="A128" s="16" t="s">
        <v>58</v>
      </c>
      <c r="B128" s="73">
        <v>869.3</v>
      </c>
      <c r="C128" s="53">
        <v>1253.3</v>
      </c>
      <c r="D128" s="76">
        <f>6.5+6.7+0.9+10.2+6.4+2.4+29+2.5+26.7+1.1+7.5+20.9+3.3+0.1+0.6+54.3+6.4+19+6.4-0.2+0.9+1+0.1+24+11.8+60.3+1.8+4+2+10.5+0.5+0.1+1.1+56.8+0.1-0.1+8.7</f>
        <v>394.30000000000007</v>
      </c>
      <c r="E128" s="17">
        <f>D128/D107*100</f>
        <v>0.18591532294948562</v>
      </c>
      <c r="F128" s="6">
        <f t="shared" si="15"/>
        <v>45.35833429195905</v>
      </c>
      <c r="G128" s="6">
        <f t="shared" si="12"/>
        <v>31.460943110189106</v>
      </c>
      <c r="H128" s="61">
        <f t="shared" si="16"/>
        <v>474.9999999999999</v>
      </c>
      <c r="I128" s="61">
        <f t="shared" si="14"/>
        <v>858.9999999999999</v>
      </c>
    </row>
    <row r="129" spans="1:9" s="32" customFormat="1" ht="18">
      <c r="A129" s="23" t="s">
        <v>89</v>
      </c>
      <c r="B129" s="74">
        <v>242.8</v>
      </c>
      <c r="C129" s="44">
        <v>459.6</v>
      </c>
      <c r="D129" s="75">
        <f>6.4+6.4+6.4+6.4+6.4+24+6.4+56.8+6.4</f>
        <v>125.6</v>
      </c>
      <c r="E129" s="1">
        <f>D129/D128*100</f>
        <v>31.853918336292157</v>
      </c>
      <c r="F129" s="1">
        <f>D129/B129*100</f>
        <v>51.729818780889616</v>
      </c>
      <c r="G129" s="1">
        <f t="shared" si="12"/>
        <v>27.328111401218447</v>
      </c>
      <c r="H129" s="44">
        <f t="shared" si="16"/>
        <v>117.20000000000002</v>
      </c>
      <c r="I129" s="44">
        <f t="shared" si="14"/>
        <v>334</v>
      </c>
    </row>
    <row r="130" spans="1:9" s="2" customFormat="1" ht="37.5" hidden="1">
      <c r="A130" s="16" t="s">
        <v>96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107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106</v>
      </c>
      <c r="B133" s="73">
        <v>0</v>
      </c>
      <c r="C133" s="53">
        <v>1</v>
      </c>
      <c r="D133" s="76"/>
      <c r="E133" s="17">
        <f>D133/D107*100</f>
        <v>0</v>
      </c>
      <c r="F133" s="124" t="e">
        <f t="shared" si="15"/>
        <v>#DIV/0!</v>
      </c>
      <c r="G133" s="6">
        <f t="shared" si="12"/>
        <v>0</v>
      </c>
      <c r="H133" s="61">
        <f t="shared" si="16"/>
        <v>0</v>
      </c>
      <c r="I133" s="61">
        <f t="shared" si="14"/>
        <v>1</v>
      </c>
    </row>
    <row r="134" spans="1:9" s="2" customFormat="1" ht="35.25" customHeight="1">
      <c r="A134" s="16" t="s">
        <v>88</v>
      </c>
      <c r="B134" s="73">
        <v>72.1</v>
      </c>
      <c r="C134" s="53">
        <v>108.1</v>
      </c>
      <c r="D134" s="76">
        <f>3.8+10.3+1.3</f>
        <v>15.400000000000002</v>
      </c>
      <c r="E134" s="17">
        <f>D134/D107*100</f>
        <v>0.007261212207512245</v>
      </c>
      <c r="F134" s="6">
        <f t="shared" si="15"/>
        <v>21.35922330097088</v>
      </c>
      <c r="G134" s="6">
        <f t="shared" si="12"/>
        <v>14.246068455134136</v>
      </c>
      <c r="H134" s="61">
        <f t="shared" si="16"/>
        <v>56.69999999999999</v>
      </c>
      <c r="I134" s="61">
        <f t="shared" si="14"/>
        <v>92.69999999999999</v>
      </c>
    </row>
    <row r="135" spans="1:9" s="2" customFormat="1" ht="39" customHeight="1">
      <c r="A135" s="16" t="s">
        <v>55</v>
      </c>
      <c r="B135" s="73">
        <v>375</v>
      </c>
      <c r="C135" s="53">
        <v>626.8</v>
      </c>
      <c r="D135" s="76">
        <f>1.2+14.1</f>
        <v>15.299999999999999</v>
      </c>
      <c r="E135" s="17">
        <f>D135/D107*100</f>
        <v>0.0072140614788920344</v>
      </c>
      <c r="F135" s="6">
        <f t="shared" si="15"/>
        <v>4.079999999999999</v>
      </c>
      <c r="G135" s="6">
        <f t="shared" si="12"/>
        <v>2.4409700063816206</v>
      </c>
      <c r="H135" s="61">
        <f t="shared" si="16"/>
        <v>359.7</v>
      </c>
      <c r="I135" s="61">
        <f t="shared" si="14"/>
        <v>611.5</v>
      </c>
    </row>
    <row r="136" spans="1:9" s="32" customFormat="1" ht="18">
      <c r="A136" s="23" t="s">
        <v>89</v>
      </c>
      <c r="B136" s="74">
        <v>225</v>
      </c>
      <c r="C136" s="44">
        <v>400</v>
      </c>
      <c r="D136" s="75">
        <f>1.2</f>
        <v>1.2</v>
      </c>
      <c r="E136" s="1"/>
      <c r="F136" s="6">
        <f>D136/B136*100</f>
        <v>0.5333333333333333</v>
      </c>
      <c r="G136" s="1">
        <f>D136/C136*100</f>
        <v>0.3</v>
      </c>
      <c r="H136" s="44">
        <f>B136-D136</f>
        <v>223.8</v>
      </c>
      <c r="I136" s="44">
        <f>C136-D136</f>
        <v>398.8</v>
      </c>
    </row>
    <row r="137" spans="1:9" s="2" customFormat="1" ht="37.5">
      <c r="A137" s="16" t="s">
        <v>85</v>
      </c>
      <c r="B137" s="73">
        <v>269.8</v>
      </c>
      <c r="C137" s="53">
        <v>381.2</v>
      </c>
      <c r="D137" s="76">
        <f>0.5+1.3+15.9+33.5+3+0.6+15.2+1.3+36.5+1.9+0.3+0.3+0.6+5+2+16.5+0.1+0.5+1.2+18.6-0.1+0.3+0.5+0.5+16+2+17.3+2.1+0.4</f>
        <v>193.79999999999998</v>
      </c>
      <c r="E137" s="17">
        <f>D137/D107*100</f>
        <v>0.09137811206596576</v>
      </c>
      <c r="F137" s="6">
        <f t="shared" si="15"/>
        <v>71.83098591549295</v>
      </c>
      <c r="G137" s="6">
        <f>D137/C137*100</f>
        <v>50.83945435466946</v>
      </c>
      <c r="H137" s="61">
        <f t="shared" si="16"/>
        <v>76.00000000000003</v>
      </c>
      <c r="I137" s="61">
        <f t="shared" si="14"/>
        <v>187.4</v>
      </c>
    </row>
    <row r="138" spans="1:9" s="32" customFormat="1" ht="18">
      <c r="A138" s="23" t="s">
        <v>26</v>
      </c>
      <c r="B138" s="74">
        <v>218</v>
      </c>
      <c r="C138" s="44">
        <v>306.1</v>
      </c>
      <c r="D138" s="75">
        <f>15.9+33.5+15.2+36.5+0.3+4.6+16.5-0.1+1.2+16+0.3+16+0.1+16.2</f>
        <v>172.2</v>
      </c>
      <c r="E138" s="1">
        <f>D138/D137*100</f>
        <v>88.85448916408669</v>
      </c>
      <c r="F138" s="1">
        <f t="shared" si="15"/>
        <v>78.99082568807339</v>
      </c>
      <c r="G138" s="1">
        <f>D138/C138*100</f>
        <v>56.2561254491996</v>
      </c>
      <c r="H138" s="44">
        <f t="shared" si="16"/>
        <v>45.80000000000001</v>
      </c>
      <c r="I138" s="44">
        <f t="shared" si="14"/>
        <v>133.90000000000003</v>
      </c>
    </row>
    <row r="139" spans="1:9" s="2" customFormat="1" ht="18.75">
      <c r="A139" s="16" t="s">
        <v>101</v>
      </c>
      <c r="B139" s="73">
        <v>1034.6</v>
      </c>
      <c r="C139" s="53">
        <f>1397.4+115.2</f>
        <v>1512.6000000000001</v>
      </c>
      <c r="D139" s="76">
        <f>26+59.9+0.4-0.1+0.1+27.3+5.8+57.7+6.3+46.3+13.6+50.5+6-0.1+43.3+3.1+0.2+52.2+16.7+42.4+4.7+8+55+5.3+39.2+0.5+5+82.1+95.1+0.2+73.5</f>
        <v>826.2</v>
      </c>
      <c r="E139" s="17">
        <f>D139/D107*100</f>
        <v>0.3895593198601699</v>
      </c>
      <c r="F139" s="6">
        <f t="shared" si="15"/>
        <v>79.85694954571815</v>
      </c>
      <c r="G139" s="6">
        <f t="shared" si="12"/>
        <v>54.6211820706069</v>
      </c>
      <c r="H139" s="61">
        <f t="shared" si="16"/>
        <v>208.39999999999986</v>
      </c>
      <c r="I139" s="61">
        <f t="shared" si="14"/>
        <v>686.4000000000001</v>
      </c>
    </row>
    <row r="140" spans="1:9" s="32" customFormat="1" ht="18">
      <c r="A140" s="33" t="s">
        <v>44</v>
      </c>
      <c r="B140" s="74">
        <v>801</v>
      </c>
      <c r="C140" s="44">
        <f>1063.5+115.2</f>
        <v>1178.7</v>
      </c>
      <c r="D140" s="75">
        <f>26+59.9+27.3+57.1-0.1+46.3+42.7-0.1+36.4+51.8+8.5+28+53.1+4.3+35.3+82.1+45.8+73.5</f>
        <v>677.9</v>
      </c>
      <c r="E140" s="1">
        <f>D140/D139*100</f>
        <v>82.05035100459936</v>
      </c>
      <c r="F140" s="1">
        <f aca="true" t="shared" si="17" ref="F140:F148">D140/B140*100</f>
        <v>84.63171036204744</v>
      </c>
      <c r="G140" s="1">
        <f t="shared" si="12"/>
        <v>57.51251378637482</v>
      </c>
      <c r="H140" s="44">
        <f t="shared" si="16"/>
        <v>123.10000000000002</v>
      </c>
      <c r="I140" s="44">
        <f t="shared" si="14"/>
        <v>500.80000000000007</v>
      </c>
    </row>
    <row r="141" spans="1:9" s="32" customFormat="1" ht="18">
      <c r="A141" s="23" t="s">
        <v>26</v>
      </c>
      <c r="B141" s="74">
        <v>24.8</v>
      </c>
      <c r="C141" s="44">
        <v>37.5</v>
      </c>
      <c r="D141" s="75">
        <f>0.4+5.6+0.6+6+0.1+3.7+0.1+0.4+1+0.3+0.3</f>
        <v>18.5</v>
      </c>
      <c r="E141" s="1">
        <f>D141/D139*100</f>
        <v>2.2391672718470104</v>
      </c>
      <c r="F141" s="1">
        <f t="shared" si="17"/>
        <v>74.59677419354838</v>
      </c>
      <c r="G141" s="1">
        <f>D141/C141*100</f>
        <v>49.333333333333336</v>
      </c>
      <c r="H141" s="44">
        <f t="shared" si="16"/>
        <v>6.300000000000001</v>
      </c>
      <c r="I141" s="44">
        <f t="shared" si="14"/>
        <v>19</v>
      </c>
    </row>
    <row r="142" spans="1:9" s="2" customFormat="1" ht="18.75" customHeight="1">
      <c r="A142" s="18" t="s">
        <v>57</v>
      </c>
      <c r="B142" s="73">
        <v>1832.5</v>
      </c>
      <c r="C142" s="53">
        <f>200+300+1250+175</f>
        <v>1925</v>
      </c>
      <c r="D142" s="76">
        <f>300+200</f>
        <v>500</v>
      </c>
      <c r="E142" s="17">
        <f>D142/D107*100</f>
        <v>0.2357536431010469</v>
      </c>
      <c r="F142" s="99">
        <f t="shared" si="17"/>
        <v>27.285129604365622</v>
      </c>
      <c r="G142" s="6">
        <f t="shared" si="12"/>
        <v>25.97402597402597</v>
      </c>
      <c r="H142" s="61">
        <f t="shared" si="16"/>
        <v>1332.5</v>
      </c>
      <c r="I142" s="61">
        <f t="shared" si="14"/>
        <v>1425</v>
      </c>
    </row>
    <row r="143" spans="1:9" s="2" customFormat="1" ht="18.75" hidden="1">
      <c r="A143" s="18" t="s">
        <v>97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10" s="2" customFormat="1" ht="23.25" customHeight="1">
      <c r="A144" s="18" t="s">
        <v>102</v>
      </c>
      <c r="B144" s="73">
        <v>27560.6</v>
      </c>
      <c r="C144" s="53">
        <f>67967+150-2500-1878-220-5896.7</f>
        <v>57622.3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</f>
        <v>20216.799999999996</v>
      </c>
      <c r="E144" s="17">
        <f>D144/D107*100</f>
        <v>9.532368503690487</v>
      </c>
      <c r="F144" s="99">
        <f t="shared" si="17"/>
        <v>73.35399084199908</v>
      </c>
      <c r="G144" s="6">
        <f t="shared" si="12"/>
        <v>35.085027845122454</v>
      </c>
      <c r="H144" s="61">
        <f t="shared" si="16"/>
        <v>7343.800000000003</v>
      </c>
      <c r="I144" s="61">
        <f t="shared" si="14"/>
        <v>37405.50000000001</v>
      </c>
      <c r="J144" s="131"/>
    </row>
    <row r="145" spans="1:9" s="2" customFormat="1" ht="18.75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103</v>
      </c>
      <c r="B146" s="73">
        <v>125.3</v>
      </c>
      <c r="C146" s="53">
        <v>234</v>
      </c>
      <c r="D146" s="76">
        <f>19.2+57.2</f>
        <v>76.4</v>
      </c>
      <c r="E146" s="17">
        <f>D146/D107*100</f>
        <v>0.03602315666583997</v>
      </c>
      <c r="F146" s="99">
        <f t="shared" si="17"/>
        <v>60.97366320830009</v>
      </c>
      <c r="G146" s="6">
        <f t="shared" si="12"/>
        <v>32.64957264957265</v>
      </c>
      <c r="H146" s="61">
        <f t="shared" si="16"/>
        <v>48.89999999999999</v>
      </c>
      <c r="I146" s="61">
        <f t="shared" si="14"/>
        <v>157.6</v>
      </c>
    </row>
    <row r="147" spans="1:12" s="2" customFormat="1" ht="18.75" customHeight="1">
      <c r="A147" s="16" t="s">
        <v>78</v>
      </c>
      <c r="B147" s="73">
        <v>7710.8</v>
      </c>
      <c r="C147" s="53">
        <v>10550.8</v>
      </c>
      <c r="D147" s="76">
        <f>1601.8+39.7+92.5+565.2+121.3+853.6+638.8+424+800.9+24.5+1.5+318.7+33.7+748.2+470.6</f>
        <v>6734.999999999999</v>
      </c>
      <c r="E147" s="17">
        <f>D147/D107*100</f>
        <v>3.175601572571101</v>
      </c>
      <c r="F147" s="99">
        <f t="shared" si="17"/>
        <v>87.34502256575192</v>
      </c>
      <c r="G147" s="6">
        <f t="shared" si="12"/>
        <v>63.834022064677555</v>
      </c>
      <c r="H147" s="61">
        <f t="shared" si="16"/>
        <v>975.8000000000011</v>
      </c>
      <c r="I147" s="61">
        <f t="shared" si="14"/>
        <v>3815.8</v>
      </c>
      <c r="K147" s="38"/>
      <c r="L147" s="38"/>
    </row>
    <row r="148" spans="1:12" s="2" customFormat="1" ht="19.5" customHeight="1">
      <c r="A148" s="16" t="s">
        <v>51</v>
      </c>
      <c r="B148" s="73">
        <v>217793.7</v>
      </c>
      <c r="C148" s="53">
        <f>376354.8-1000+14285.9-198-200-300-15786.4-2950-2519.8+7938.3</f>
        <v>375624.8</v>
      </c>
      <c r="D148" s="76">
        <f>69938.3+2324.7+1312.6+155+2603.6+1211+415+5415.4+691.3+550.4+1878.3+788.4+1157.7+1447.6+460+220+1003.2+463.4+1549.4+4235.7+2898+282.5+3333.1+1785.1+3361.2+766.9+2135.7+2288.9+1770.1+551.3+928.7+3247.1+12763.1+0.2+5806.9</f>
        <v>139739.8</v>
      </c>
      <c r="E148" s="17">
        <f>D148/D107*100</f>
        <v>65.88833387242333</v>
      </c>
      <c r="F148" s="6">
        <f t="shared" si="17"/>
        <v>64.16154369938157</v>
      </c>
      <c r="G148" s="6">
        <f t="shared" si="12"/>
        <v>37.201963235654304</v>
      </c>
      <c r="H148" s="61">
        <f t="shared" si="16"/>
        <v>78053.90000000002</v>
      </c>
      <c r="I148" s="61">
        <f t="shared" si="14"/>
        <v>235885</v>
      </c>
      <c r="K148" s="91"/>
      <c r="L148" s="38"/>
    </row>
    <row r="149" spans="1:12" s="2" customFormat="1" ht="18.75">
      <c r="A149" s="16" t="s">
        <v>104</v>
      </c>
      <c r="B149" s="73">
        <v>19656.8</v>
      </c>
      <c r="C149" s="53">
        <v>29485.2</v>
      </c>
      <c r="D149" s="76">
        <f>819+819+819.1+819+819+819.1+819+819+819.1+819+819+819.1+819.1+819+819+819+819.1+819+819+819+819.1</f>
        <v>17199.7</v>
      </c>
      <c r="E149" s="17">
        <f>D149/D107*100</f>
        <v>8.109783870490153</v>
      </c>
      <c r="F149" s="6">
        <f t="shared" si="15"/>
        <v>87.50000000000001</v>
      </c>
      <c r="G149" s="6">
        <f t="shared" si="12"/>
        <v>58.333333333333336</v>
      </c>
      <c r="H149" s="61">
        <f t="shared" si="16"/>
        <v>2457.0999999999985</v>
      </c>
      <c r="I149" s="61">
        <f t="shared" si="14"/>
        <v>12285.5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323145.50000000006</v>
      </c>
      <c r="C150" s="77">
        <f>C43+C69+C72+C77+C79+C87+C102+C107+C100+C84+C98</f>
        <v>548262.8</v>
      </c>
      <c r="D150" s="53">
        <f>D43+D69+D72+D77+D79+D87+D102+D107+D100+D84+D98</f>
        <v>219463.29999999996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1242099.5</v>
      </c>
      <c r="C151" s="47">
        <f>C6+C18+C33+C43+C51+C59+C69+C72+C77+C79+C87+C90+C95+C102+C107+C100+C84+C98+C45</f>
        <v>1879675.5999999996</v>
      </c>
      <c r="D151" s="47">
        <f>D6+D18+D33+D43+D51+D59+D69+D72+D77+D79+D87+D90+D95+D102+D107+D100+D84+D98+D45</f>
        <v>970749.7999999998</v>
      </c>
      <c r="E151" s="31">
        <v>100</v>
      </c>
      <c r="F151" s="3">
        <f>D151/B151*100</f>
        <v>78.1539482142936</v>
      </c>
      <c r="G151" s="3">
        <f aca="true" t="shared" si="18" ref="G151:G157">D151/C151*100</f>
        <v>51.64453908961738</v>
      </c>
      <c r="H151" s="47">
        <f aca="true" t="shared" si="19" ref="H151:H157">B151-D151</f>
        <v>271349.7000000002</v>
      </c>
      <c r="I151" s="47">
        <f aca="true" t="shared" si="20" ref="I151:I157">C151-D151</f>
        <v>908925.7999999998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492770</v>
      </c>
      <c r="C152" s="60">
        <f>C8+C20+C34+C52+C60+C91+C115+C119+C46+C140+C131+C103</f>
        <v>728085</v>
      </c>
      <c r="D152" s="60">
        <f>D8+D20+D34+D52+D60+D91+D115+D119+D46+D140+D131+D103</f>
        <v>406097.5</v>
      </c>
      <c r="E152" s="6">
        <f>D152/D151*100</f>
        <v>41.83338487424876</v>
      </c>
      <c r="F152" s="6">
        <f aca="true" t="shared" si="21" ref="F152:F157">D152/B152*100</f>
        <v>82.41116545244232</v>
      </c>
      <c r="G152" s="6">
        <f t="shared" si="18"/>
        <v>55.77611130568546</v>
      </c>
      <c r="H152" s="61">
        <f t="shared" si="19"/>
        <v>86672.5</v>
      </c>
      <c r="I152" s="72">
        <f t="shared" si="20"/>
        <v>321987.5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66173.7</v>
      </c>
      <c r="C153" s="61">
        <f>C11+C23+C36+C55+C62+C92+C49+C141+C109+C112+C96+C138</f>
        <v>102323.1</v>
      </c>
      <c r="D153" s="61">
        <f>D11+D23+D36+D55+D62+D92+D49+D141+D109+D112+D96+D138</f>
        <v>55805.8</v>
      </c>
      <c r="E153" s="6">
        <f>D153/D151*100</f>
        <v>5.748731547511008</v>
      </c>
      <c r="F153" s="6">
        <f t="shared" si="21"/>
        <v>84.33229515653501</v>
      </c>
      <c r="G153" s="6">
        <f t="shared" si="18"/>
        <v>54.53880892975291</v>
      </c>
      <c r="H153" s="61">
        <f t="shared" si="19"/>
        <v>10367.899999999994</v>
      </c>
      <c r="I153" s="72">
        <f t="shared" si="20"/>
        <v>46517.3</v>
      </c>
      <c r="K153" s="39"/>
      <c r="L153" s="90"/>
    </row>
    <row r="154" spans="1:12" ht="18.75">
      <c r="A154" s="18" t="s">
        <v>1</v>
      </c>
      <c r="B154" s="60">
        <f>B22+B10+B54+B48+B61+B35+B123</f>
        <v>20505.100000000002</v>
      </c>
      <c r="C154" s="60">
        <f>C22+C10+C54+C48+C61+C35+C123</f>
        <v>28689.7</v>
      </c>
      <c r="D154" s="60">
        <f>D22+D10+D54+D48+D61+D35+D123</f>
        <v>18301.5</v>
      </c>
      <c r="E154" s="6">
        <f>D154/D151*100</f>
        <v>1.885295263516923</v>
      </c>
      <c r="F154" s="6">
        <f t="shared" si="21"/>
        <v>89.2534052504011</v>
      </c>
      <c r="G154" s="6">
        <f t="shared" si="18"/>
        <v>63.791186383963584</v>
      </c>
      <c r="H154" s="61">
        <f t="shared" si="19"/>
        <v>2203.600000000002</v>
      </c>
      <c r="I154" s="72">
        <f t="shared" si="20"/>
        <v>10388.2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20504.199999999997</v>
      </c>
      <c r="C155" s="60">
        <f>C12+C24+C104+C63+C38+C93+C129+C56+C136</f>
        <v>29533.899999999998</v>
      </c>
      <c r="D155" s="60">
        <f>D12+D24+D104+D63+D38+D93+D129+D56+D136</f>
        <v>12852.1</v>
      </c>
      <c r="E155" s="6">
        <f>D155/D151*100</f>
        <v>1.323935374490935</v>
      </c>
      <c r="F155" s="6">
        <f t="shared" si="21"/>
        <v>62.68032890822369</v>
      </c>
      <c r="G155" s="6">
        <f t="shared" si="18"/>
        <v>43.51643365759348</v>
      </c>
      <c r="H155" s="61">
        <f>B155-D155</f>
        <v>7652.099999999997</v>
      </c>
      <c r="I155" s="72">
        <f t="shared" si="20"/>
        <v>16681.799999999996</v>
      </c>
      <c r="K155" s="39"/>
      <c r="L155" s="90"/>
    </row>
    <row r="156" spans="1:12" ht="18.75">
      <c r="A156" s="18" t="s">
        <v>2</v>
      </c>
      <c r="B156" s="60">
        <f>B9+B21+B47+B53+B122</f>
        <v>53.699999999999996</v>
      </c>
      <c r="C156" s="60">
        <f>C9+C21+C47+C53+C122</f>
        <v>106.9</v>
      </c>
      <c r="D156" s="60">
        <f>D9+D21+D47+D53+D122</f>
        <v>23.900000000000002</v>
      </c>
      <c r="E156" s="6">
        <f>D156/D151*100</f>
        <v>0.0024620144140127566</v>
      </c>
      <c r="F156" s="6">
        <f t="shared" si="21"/>
        <v>44.50651769087524</v>
      </c>
      <c r="G156" s="6">
        <f t="shared" si="18"/>
        <v>22.35734331150608</v>
      </c>
      <c r="H156" s="61">
        <f t="shared" si="19"/>
        <v>29.799999999999994</v>
      </c>
      <c r="I156" s="72">
        <f t="shared" si="20"/>
        <v>83</v>
      </c>
      <c r="K156" s="39"/>
      <c r="L156" s="40"/>
    </row>
    <row r="157" spans="1:12" ht="19.5" thickBot="1">
      <c r="A157" s="125" t="s">
        <v>28</v>
      </c>
      <c r="B157" s="78">
        <f>B151-B152-B153-B154-B155-B156</f>
        <v>642092.8000000002</v>
      </c>
      <c r="C157" s="78">
        <f>C151-C152-C153-C154-C155-C156</f>
        <v>990936.9999999995</v>
      </c>
      <c r="D157" s="78">
        <f>D151-D152-D153-D154-D155-D156</f>
        <v>477668.9999999998</v>
      </c>
      <c r="E157" s="36">
        <f>D157/D151*100</f>
        <v>49.20619092581837</v>
      </c>
      <c r="F157" s="36">
        <f t="shared" si="21"/>
        <v>74.39251771706516</v>
      </c>
      <c r="G157" s="36">
        <f t="shared" si="18"/>
        <v>48.203770774529566</v>
      </c>
      <c r="H157" s="126">
        <f t="shared" si="19"/>
        <v>164423.80000000034</v>
      </c>
      <c r="I157" s="126">
        <f t="shared" si="20"/>
        <v>513267.9999999997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2:8" ht="12.75">
      <c r="B164" s="130"/>
      <c r="C164" s="130"/>
      <c r="D164" s="130"/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1879675.5999999996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970749.7999999998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1879675.5999999996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970749.7999999998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2017-08-01T12:38:31Z</cp:lastPrinted>
  <dcterms:created xsi:type="dcterms:W3CDTF">2000-06-20T04:48:00Z</dcterms:created>
  <dcterms:modified xsi:type="dcterms:W3CDTF">2017-08-02T05:39:10Z</dcterms:modified>
  <cp:category/>
  <cp:version/>
  <cp:contentType/>
  <cp:contentStatus/>
</cp:coreProperties>
</file>